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ÀI\Tài\Tài 2022\Báo cáo HĐND\Cuối năm\Thu - Chi\BC THU, CHI 2022\"/>
    </mc:Choice>
  </mc:AlternateContent>
  <bookViews>
    <workbookView xWindow="0" yWindow="0" windowWidth="20490" windowHeight="7635" tabRatio="602"/>
  </bookViews>
  <sheets>
    <sheet name="34" sheetId="60" r:id="rId1"/>
    <sheet name="37" sheetId="59" r:id="rId2"/>
    <sheet name="15-CK" sheetId="7" r:id="rId3"/>
    <sheet name="30-CK" sheetId="8" r:id="rId4"/>
    <sheet name="16-CK" sheetId="3" r:id="rId5"/>
    <sheet name="17-CK" sheetId="58" r:id="rId6"/>
    <sheet name="33" sheetId="55" r:id="rId7"/>
    <sheet name="39-CK" sheetId="38" r:id="rId8"/>
    <sheet name="42" sheetId="57" r:id="rId9"/>
    <sheet name="32" sheetId="53" r:id="rId10"/>
  </sheets>
  <externalReferences>
    <externalReference r:id="rId11"/>
  </externalReferences>
  <definedNames>
    <definedName name="_xlnm.Print_Area" localSheetId="2">'15-CK'!$A$3:$G$30</definedName>
    <definedName name="_xlnm.Print_Area" localSheetId="4">'16-CK'!$A$1:$H$22</definedName>
    <definedName name="_xlnm.Print_Area" localSheetId="5">'17-CK'!$A$1:$F$43</definedName>
    <definedName name="_xlnm.Print_Area" localSheetId="3">'30-CK'!$A$3:$G$36</definedName>
    <definedName name="_xlnm.Print_Area" localSheetId="9">'32'!$A$1:$G$18</definedName>
    <definedName name="_xlnm.Print_Area" localSheetId="6">'33'!$A$1:$E$42</definedName>
    <definedName name="_xlnm.Print_Area" localSheetId="0">'34'!$A$1:$D$44</definedName>
    <definedName name="_xlnm.Print_Area" localSheetId="1">'37'!$A$1:$P$78</definedName>
    <definedName name="_xlnm.Print_Area" localSheetId="7">'39-CK'!$A$1:$J$18</definedName>
    <definedName name="_xlnm.Print_Area" localSheetId="8">'42'!$A$1:$J$21</definedName>
    <definedName name="_xlnm.Print_Titles" localSheetId="2">'15-CK'!$8:$9</definedName>
    <definedName name="_xlnm.Print_Titles" localSheetId="4">'16-CK'!$7:$8</definedName>
    <definedName name="_xlnm.Print_Titles" localSheetId="5">'17-CK'!$5:$7</definedName>
    <definedName name="_xlnm.Print_Titles" localSheetId="3">'30-CK'!$10:$11</definedName>
    <definedName name="_xlnm.Print_Titles" localSheetId="6">'33'!$6:$7</definedName>
    <definedName name="_xlnm.Print_Titles" localSheetId="0">'34'!$6:$6</definedName>
    <definedName name="_xlnm.Print_Titles" localSheetId="1">'37'!$7:$10</definedName>
    <definedName name="_xlnm.Print_Titles" localSheetId="7">'39-CK'!$5:$7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9" l="1"/>
  <c r="R66" i="59"/>
  <c r="C66" i="59"/>
  <c r="C71" i="59"/>
  <c r="J77" i="59"/>
  <c r="J71" i="59" s="1"/>
  <c r="J66" i="59" s="1"/>
  <c r="C74" i="59"/>
  <c r="A7" i="8" l="1"/>
  <c r="C29" i="8" l="1"/>
  <c r="E29" i="8"/>
  <c r="D29" i="8"/>
  <c r="C23" i="8"/>
  <c r="C21" i="8" s="1"/>
  <c r="K14" i="57" l="1"/>
  <c r="C75" i="59" l="1"/>
  <c r="C76" i="59"/>
  <c r="E10" i="57" l="1"/>
  <c r="E21" i="57" s="1"/>
  <c r="J8" i="38"/>
  <c r="F9" i="38"/>
  <c r="C11" i="3"/>
  <c r="E15" i="7" l="1"/>
  <c r="M28" i="59"/>
  <c r="C28" i="59" s="1"/>
  <c r="P15" i="59"/>
  <c r="M40" i="59" l="1"/>
  <c r="S36" i="59"/>
  <c r="S68" i="59"/>
  <c r="M45" i="59"/>
  <c r="R41" i="59"/>
  <c r="R40" i="59"/>
  <c r="R42" i="59" s="1"/>
  <c r="Q40" i="59"/>
  <c r="F54" i="59" l="1"/>
  <c r="D37" i="60"/>
  <c r="N60" i="59"/>
  <c r="N12" i="59" s="1"/>
  <c r="E23" i="7"/>
  <c r="D35" i="59"/>
  <c r="G14" i="59"/>
  <c r="G78" i="59" s="1"/>
  <c r="M18" i="59"/>
  <c r="C35" i="59" l="1"/>
  <c r="M66" i="59"/>
  <c r="M39" i="59"/>
  <c r="C39" i="59" s="1"/>
  <c r="I31" i="59"/>
  <c r="C31" i="59" s="1"/>
  <c r="E40" i="59"/>
  <c r="E17" i="8"/>
  <c r="G17" i="8" s="1"/>
  <c r="C16" i="8"/>
  <c r="C14" i="8" s="1"/>
  <c r="M47" i="59"/>
  <c r="M46" i="59"/>
  <c r="M44" i="59"/>
  <c r="C44" i="59" s="1"/>
  <c r="M43" i="59"/>
  <c r="C43" i="59" s="1"/>
  <c r="M42" i="59"/>
  <c r="M37" i="59"/>
  <c r="M36" i="59" s="1"/>
  <c r="M33" i="59"/>
  <c r="C33" i="59" s="1"/>
  <c r="M27" i="59"/>
  <c r="C27" i="59" s="1"/>
  <c r="M25" i="59"/>
  <c r="M21" i="59"/>
  <c r="C21" i="59" s="1"/>
  <c r="M16" i="59"/>
  <c r="D29" i="58"/>
  <c r="D28" i="58" s="1"/>
  <c r="E34" i="58"/>
  <c r="E33" i="58"/>
  <c r="C54" i="59"/>
  <c r="M19" i="59"/>
  <c r="C19" i="59" s="1"/>
  <c r="D11" i="58"/>
  <c r="D10" i="58" s="1"/>
  <c r="D28" i="7"/>
  <c r="D20" i="3"/>
  <c r="G12" i="3"/>
  <c r="G13" i="3"/>
  <c r="G14" i="3"/>
  <c r="G15" i="3"/>
  <c r="G17" i="3"/>
  <c r="G18" i="3"/>
  <c r="G19" i="3"/>
  <c r="G20" i="3"/>
  <c r="G21" i="3"/>
  <c r="C10" i="3"/>
  <c r="D12" i="3"/>
  <c r="D13" i="3"/>
  <c r="D16" i="3"/>
  <c r="D17" i="3"/>
  <c r="D21" i="3"/>
  <c r="C65" i="59"/>
  <c r="D42" i="58"/>
  <c r="D41" i="58" s="1"/>
  <c r="D37" i="55"/>
  <c r="D36" i="55" s="1"/>
  <c r="C39" i="55"/>
  <c r="C40" i="55"/>
  <c r="C41" i="55"/>
  <c r="C42" i="55"/>
  <c r="C38" i="55"/>
  <c r="C9" i="53"/>
  <c r="E11" i="38"/>
  <c r="E12" i="38"/>
  <c r="E13" i="38"/>
  <c r="E14" i="38"/>
  <c r="E15" i="38"/>
  <c r="E16" i="38"/>
  <c r="E17" i="38"/>
  <c r="E18" i="38"/>
  <c r="E10" i="38"/>
  <c r="E21" i="7"/>
  <c r="C67" i="59"/>
  <c r="C55" i="59"/>
  <c r="C77" i="59"/>
  <c r="C13" i="59"/>
  <c r="D24" i="58"/>
  <c r="D32" i="55" s="1"/>
  <c r="C32" i="55" s="1"/>
  <c r="C17" i="59"/>
  <c r="C20" i="59"/>
  <c r="C24" i="59"/>
  <c r="C30" i="59"/>
  <c r="C34" i="59"/>
  <c r="C38" i="59"/>
  <c r="C41" i="59"/>
  <c r="C48" i="59"/>
  <c r="C49" i="59"/>
  <c r="C50" i="59"/>
  <c r="C51" i="59"/>
  <c r="C52" i="59"/>
  <c r="C53" i="59"/>
  <c r="C56" i="59"/>
  <c r="C57" i="59"/>
  <c r="C58" i="59"/>
  <c r="C59" i="59"/>
  <c r="C61" i="59"/>
  <c r="C62" i="59"/>
  <c r="C63" i="59"/>
  <c r="C64" i="59"/>
  <c r="C68" i="59"/>
  <c r="C69" i="59"/>
  <c r="C72" i="59"/>
  <c r="C73" i="59"/>
  <c r="C60" i="59"/>
  <c r="D25" i="58"/>
  <c r="D33" i="55" s="1"/>
  <c r="C33" i="55" s="1"/>
  <c r="D14" i="60"/>
  <c r="D13" i="60" s="1"/>
  <c r="D66" i="59"/>
  <c r="D12" i="59" s="1"/>
  <c r="F66" i="59"/>
  <c r="F12" i="59" s="1"/>
  <c r="D31" i="60" s="1"/>
  <c r="H66" i="59"/>
  <c r="I66" i="59"/>
  <c r="K66" i="59"/>
  <c r="K12" i="59" s="1"/>
  <c r="L66" i="59"/>
  <c r="L12" i="59" s="1"/>
  <c r="N66" i="59"/>
  <c r="O66" i="59"/>
  <c r="P66" i="59"/>
  <c r="P12" i="59" s="1"/>
  <c r="D39" i="60" s="1"/>
  <c r="D23" i="58" s="1"/>
  <c r="J36" i="59"/>
  <c r="M22" i="59"/>
  <c r="C22" i="59" s="1"/>
  <c r="C23" i="59"/>
  <c r="M32" i="59"/>
  <c r="C32" i="59" s="1"/>
  <c r="C37" i="59"/>
  <c r="D22" i="3"/>
  <c r="E9" i="38"/>
  <c r="D9" i="38" s="1"/>
  <c r="C47" i="59"/>
  <c r="C46" i="59"/>
  <c r="C45" i="59"/>
  <c r="C42" i="59"/>
  <c r="C26" i="59"/>
  <c r="C25" i="59"/>
  <c r="C18" i="59"/>
  <c r="C14" i="59"/>
  <c r="C78" i="59"/>
  <c r="G66" i="59"/>
  <c r="G12" i="59" s="1"/>
  <c r="D32" i="60" s="1"/>
  <c r="D21" i="58"/>
  <c r="D38" i="60"/>
  <c r="D22" i="58" s="1"/>
  <c r="D42" i="60"/>
  <c r="C42" i="60"/>
  <c r="A17" i="60"/>
  <c r="A18" i="60" s="1"/>
  <c r="A19" i="60" s="1"/>
  <c r="A20" i="60" s="1"/>
  <c r="A21" i="60" s="1"/>
  <c r="A22" i="60" s="1"/>
  <c r="A23" i="60" s="1"/>
  <c r="A24" i="60" s="1"/>
  <c r="A25" i="60" s="1"/>
  <c r="O15" i="59"/>
  <c r="C8" i="38"/>
  <c r="E30" i="58"/>
  <c r="E32" i="58"/>
  <c r="D11" i="55"/>
  <c r="E43" i="58"/>
  <c r="E42" i="58" s="1"/>
  <c r="E41" i="58" s="1"/>
  <c r="E31" i="58"/>
  <c r="A16" i="58"/>
  <c r="A17" i="58" s="1"/>
  <c r="A18" i="58" s="1"/>
  <c r="A19" i="58" s="1"/>
  <c r="A20" i="58" s="1"/>
  <c r="A21" i="58" s="1"/>
  <c r="A22" i="58" s="1"/>
  <c r="E11" i="58"/>
  <c r="F24" i="58"/>
  <c r="D10" i="38"/>
  <c r="G10" i="38" s="1"/>
  <c r="M10" i="38" s="1"/>
  <c r="F12" i="3"/>
  <c r="F13" i="3"/>
  <c r="E11" i="3"/>
  <c r="G11" i="3" s="1"/>
  <c r="D16" i="7"/>
  <c r="D15" i="7" s="1"/>
  <c r="G25" i="7"/>
  <c r="G28" i="7"/>
  <c r="I20" i="57"/>
  <c r="I19" i="57"/>
  <c r="C19" i="57"/>
  <c r="I18" i="57"/>
  <c r="I17" i="57"/>
  <c r="I16" i="57"/>
  <c r="I15" i="57"/>
  <c r="I14" i="57"/>
  <c r="I13" i="57"/>
  <c r="I12" i="57"/>
  <c r="A12" i="57"/>
  <c r="A13" i="57" s="1"/>
  <c r="A14" i="57" s="1"/>
  <c r="A15" i="57" s="1"/>
  <c r="A16" i="57" s="1"/>
  <c r="A17" i="57" s="1"/>
  <c r="A18" i="57" s="1"/>
  <c r="A19" i="57" s="1"/>
  <c r="A20" i="57" s="1"/>
  <c r="I11" i="57"/>
  <c r="J10" i="57"/>
  <c r="J9" i="57"/>
  <c r="H10" i="57"/>
  <c r="G10" i="57"/>
  <c r="G9" i="57"/>
  <c r="F10" i="57"/>
  <c r="F9" i="57" s="1"/>
  <c r="D10" i="57"/>
  <c r="D9" i="57" s="1"/>
  <c r="C18" i="57"/>
  <c r="I10" i="57"/>
  <c r="C15" i="57"/>
  <c r="C17" i="57"/>
  <c r="C20" i="57"/>
  <c r="C11" i="57"/>
  <c r="C13" i="57"/>
  <c r="I9" i="57"/>
  <c r="C14" i="57"/>
  <c r="C16" i="57"/>
  <c r="H9" i="57"/>
  <c r="C12" i="57"/>
  <c r="E18" i="8"/>
  <c r="E16" i="8" s="1"/>
  <c r="G35" i="8"/>
  <c r="F35" i="8"/>
  <c r="G34" i="8"/>
  <c r="F34" i="8"/>
  <c r="F26" i="8"/>
  <c r="D23" i="8"/>
  <c r="E20" i="8"/>
  <c r="G19" i="8"/>
  <c r="F18" i="8"/>
  <c r="F28" i="7"/>
  <c r="E26" i="7"/>
  <c r="G26" i="7" s="1"/>
  <c r="D26" i="7"/>
  <c r="G24" i="7"/>
  <c r="F24" i="7"/>
  <c r="G23" i="7"/>
  <c r="F23" i="7"/>
  <c r="F21" i="7" s="1"/>
  <c r="G22" i="7"/>
  <c r="F22" i="7"/>
  <c r="G21" i="7"/>
  <c r="D21" i="7"/>
  <c r="D20" i="7" s="1"/>
  <c r="G19" i="7"/>
  <c r="F19" i="7"/>
  <c r="G18" i="7"/>
  <c r="F18" i="7"/>
  <c r="F17" i="7"/>
  <c r="F17" i="8"/>
  <c r="D16" i="8"/>
  <c r="G18" i="8"/>
  <c r="F19" i="8"/>
  <c r="G16" i="7"/>
  <c r="G17" i="7"/>
  <c r="F16" i="7"/>
  <c r="F15" i="7" s="1"/>
  <c r="G15" i="7"/>
  <c r="C11" i="55"/>
  <c r="H8" i="38"/>
  <c r="I8" i="38"/>
  <c r="K8" i="38"/>
  <c r="J9" i="53"/>
  <c r="J8" i="53" s="1"/>
  <c r="I9" i="53"/>
  <c r="J11" i="53"/>
  <c r="J12" i="53"/>
  <c r="J13" i="53"/>
  <c r="H13" i="53" s="1"/>
  <c r="J14" i="53"/>
  <c r="J15" i="53"/>
  <c r="J16" i="53"/>
  <c r="J17" i="53"/>
  <c r="J18" i="53"/>
  <c r="J10" i="53"/>
  <c r="I11" i="53"/>
  <c r="I12" i="53"/>
  <c r="I13" i="53"/>
  <c r="I14" i="53"/>
  <c r="I15" i="53"/>
  <c r="I16" i="53"/>
  <c r="H16" i="53" s="1"/>
  <c r="I17" i="53"/>
  <c r="I18" i="53"/>
  <c r="I10" i="53"/>
  <c r="I8" i="53"/>
  <c r="C18" i="53"/>
  <c r="A24" i="55"/>
  <c r="A25" i="55" s="1"/>
  <c r="A26" i="55" s="1"/>
  <c r="A27" i="55" s="1"/>
  <c r="A28" i="55" s="1"/>
  <c r="A29" i="55" s="1"/>
  <c r="A30" i="55" s="1"/>
  <c r="E8" i="53"/>
  <c r="F8" i="53"/>
  <c r="G8" i="53"/>
  <c r="D8" i="53"/>
  <c r="C8" i="53" s="1"/>
  <c r="C10" i="53"/>
  <c r="C11" i="53"/>
  <c r="C12" i="53"/>
  <c r="C13" i="53"/>
  <c r="C14" i="53"/>
  <c r="C15" i="53"/>
  <c r="C16" i="53"/>
  <c r="C17" i="53"/>
  <c r="D17" i="38"/>
  <c r="G17" i="38" s="1"/>
  <c r="M17" i="38" s="1"/>
  <c r="D15" i="38"/>
  <c r="G15" i="38" s="1"/>
  <c r="M15" i="38" s="1"/>
  <c r="D13" i="38"/>
  <c r="G13" i="38" s="1"/>
  <c r="M13" i="38" s="1"/>
  <c r="D11" i="38"/>
  <c r="G11" i="38" s="1"/>
  <c r="M11" i="38" s="1"/>
  <c r="D12" i="38"/>
  <c r="D14" i="38"/>
  <c r="G14" i="38" s="1"/>
  <c r="M14" i="38" s="1"/>
  <c r="D16" i="38"/>
  <c r="G16" i="38" s="1"/>
  <c r="M16" i="38" s="1"/>
  <c r="D18" i="38"/>
  <c r="G18" i="38" s="1"/>
  <c r="M18" i="38" s="1"/>
  <c r="F20" i="3"/>
  <c r="H20" i="3" s="1"/>
  <c r="F17" i="3"/>
  <c r="H17" i="3" s="1"/>
  <c r="F18" i="3"/>
  <c r="H18" i="3" s="1"/>
  <c r="F21" i="3"/>
  <c r="D17" i="55"/>
  <c r="C17" i="55" s="1"/>
  <c r="E14" i="7"/>
  <c r="F14" i="7" s="1"/>
  <c r="H12" i="3"/>
  <c r="H21" i="3"/>
  <c r="F8" i="38"/>
  <c r="H19" i="3"/>
  <c r="G12" i="38"/>
  <c r="M12" i="38" s="1"/>
  <c r="H13" i="3"/>
  <c r="F11" i="3"/>
  <c r="D14" i="7"/>
  <c r="F33" i="8"/>
  <c r="F11" i="58"/>
  <c r="D21" i="8"/>
  <c r="D34" i="55"/>
  <c r="H10" i="53" l="1"/>
  <c r="H15" i="53"/>
  <c r="H11" i="53"/>
  <c r="H12" i="53"/>
  <c r="C36" i="59"/>
  <c r="H17" i="53"/>
  <c r="H18" i="53"/>
  <c r="H14" i="53"/>
  <c r="H9" i="53"/>
  <c r="H8" i="53" s="1"/>
  <c r="E70" i="59"/>
  <c r="C40" i="59"/>
  <c r="O12" i="59"/>
  <c r="D36" i="60" s="1"/>
  <c r="N15" i="59"/>
  <c r="E10" i="3"/>
  <c r="G10" i="3" s="1"/>
  <c r="G14" i="7"/>
  <c r="F10" i="3"/>
  <c r="E13" i="7" s="1"/>
  <c r="E12" i="7" s="1"/>
  <c r="E11" i="7" s="1"/>
  <c r="D11" i="3"/>
  <c r="C10" i="57"/>
  <c r="M15" i="59"/>
  <c r="C21" i="57"/>
  <c r="C9" i="57" s="1"/>
  <c r="E25" i="8" s="1"/>
  <c r="E9" i="57"/>
  <c r="F20" i="8"/>
  <c r="G20" i="8"/>
  <c r="D20" i="58"/>
  <c r="E20" i="58" s="1"/>
  <c r="D8" i="38"/>
  <c r="E8" i="38"/>
  <c r="F29" i="58"/>
  <c r="I12" i="59"/>
  <c r="D33" i="60" s="1"/>
  <c r="D17" i="58" s="1"/>
  <c r="F17" i="58" s="1"/>
  <c r="C37" i="55"/>
  <c r="E29" i="58"/>
  <c r="F42" i="58"/>
  <c r="F41" i="58" s="1"/>
  <c r="D41" i="60"/>
  <c r="C16" i="59"/>
  <c r="J12" i="59"/>
  <c r="D18" i="58" s="1"/>
  <c r="M12" i="59"/>
  <c r="D35" i="60" s="1"/>
  <c r="F10" i="58"/>
  <c r="E10" i="58"/>
  <c r="F28" i="58"/>
  <c r="D26" i="58"/>
  <c r="E24" i="58"/>
  <c r="D40" i="60"/>
  <c r="D15" i="58"/>
  <c r="E15" i="58" s="1"/>
  <c r="F26" i="7"/>
  <c r="F20" i="7" s="1"/>
  <c r="E20" i="7"/>
  <c r="G20" i="7" s="1"/>
  <c r="G16" i="8"/>
  <c r="F16" i="8"/>
  <c r="E25" i="58"/>
  <c r="F22" i="58"/>
  <c r="E22" i="58"/>
  <c r="E21" i="58"/>
  <c r="F21" i="58"/>
  <c r="D16" i="58"/>
  <c r="E17" i="58" l="1"/>
  <c r="F20" i="58"/>
  <c r="D10" i="3"/>
  <c r="H11" i="3"/>
  <c r="C70" i="59"/>
  <c r="E66" i="59"/>
  <c r="E12" i="59" s="1"/>
  <c r="D30" i="60" s="1"/>
  <c r="C15" i="59"/>
  <c r="D34" i="60"/>
  <c r="C36" i="55"/>
  <c r="C34" i="55" s="1"/>
  <c r="F30" i="8"/>
  <c r="G30" i="8"/>
  <c r="F25" i="8"/>
  <c r="D10" i="60"/>
  <c r="F15" i="58"/>
  <c r="F26" i="58"/>
  <c r="E26" i="58"/>
  <c r="E18" i="58"/>
  <c r="F18" i="58"/>
  <c r="E16" i="58"/>
  <c r="F16" i="58"/>
  <c r="D15" i="8" l="1"/>
  <c r="D14" i="8" s="1"/>
  <c r="D13" i="7"/>
  <c r="H10" i="3"/>
  <c r="E15" i="8"/>
  <c r="E14" i="8" s="1"/>
  <c r="H12" i="59"/>
  <c r="D19" i="58"/>
  <c r="D12" i="7" l="1"/>
  <c r="F13" i="7"/>
  <c r="F12" i="7" s="1"/>
  <c r="F11" i="7" s="1"/>
  <c r="G13" i="7"/>
  <c r="G15" i="8"/>
  <c r="F15" i="8"/>
  <c r="F19" i="58"/>
  <c r="E19" i="58"/>
  <c r="D11" i="7" l="1"/>
  <c r="G11" i="7" s="1"/>
  <c r="G12" i="7"/>
  <c r="G14" i="8"/>
  <c r="F14" i="8"/>
  <c r="D29" i="60" l="1"/>
  <c r="C29" i="59"/>
  <c r="D14" i="58" l="1"/>
  <c r="D27" i="60"/>
  <c r="D11" i="60" l="1"/>
  <c r="D20" i="55"/>
  <c r="F14" i="58"/>
  <c r="D12" i="58"/>
  <c r="D22" i="55"/>
  <c r="C22" i="55" s="1"/>
  <c r="E14" i="58"/>
  <c r="F12" i="58" l="1"/>
  <c r="E12" i="58"/>
  <c r="D9" i="58"/>
  <c r="D8" i="58" s="1"/>
  <c r="D10" i="55"/>
  <c r="D9" i="55" s="1"/>
  <c r="F9" i="58" l="1"/>
  <c r="E9" i="58"/>
  <c r="E8" i="58" l="1"/>
  <c r="F8" i="58"/>
  <c r="G9" i="38"/>
  <c r="M9" i="38" s="1"/>
  <c r="G8" i="38" l="1"/>
  <c r="D9" i="60" s="1"/>
  <c r="D8" i="60" s="1"/>
  <c r="D7" i="60" s="1"/>
  <c r="F7" i="60" s="1"/>
  <c r="E24" i="8"/>
  <c r="E23" i="8" l="1"/>
  <c r="G24" i="8"/>
  <c r="F24" i="8"/>
  <c r="F32" i="8" l="1"/>
  <c r="G32" i="8"/>
  <c r="F23" i="8"/>
  <c r="E22" i="8"/>
  <c r="G23" i="8"/>
  <c r="G22" i="8" l="1"/>
  <c r="E21" i="8"/>
  <c r="F22" i="8"/>
  <c r="F31" i="8"/>
  <c r="G31" i="8"/>
  <c r="G29" i="8" l="1"/>
  <c r="F29" i="8"/>
  <c r="E36" i="8"/>
  <c r="F21" i="8"/>
  <c r="G21" i="8"/>
  <c r="F36" i="8" l="1"/>
  <c r="G36" i="8"/>
  <c r="E20" i="55"/>
  <c r="E10" i="55" l="1"/>
  <c r="E9" i="55" s="1"/>
  <c r="C20" i="55"/>
  <c r="C10" i="55" s="1"/>
  <c r="C9" i="55" s="1"/>
  <c r="E14" i="55"/>
  <c r="D14" i="55"/>
  <c r="C14" i="55"/>
  <c r="E19" i="55"/>
  <c r="E12" i="55"/>
  <c r="E13" i="55"/>
  <c r="D13" i="55"/>
  <c r="C13" i="55"/>
  <c r="E18" i="55"/>
  <c r="C24" i="55"/>
  <c r="D24" i="55"/>
  <c r="E15" i="55"/>
  <c r="C15" i="55"/>
  <c r="D15" i="55"/>
  <c r="C25" i="55"/>
  <c r="D25" i="55"/>
  <c r="D31" i="55"/>
  <c r="C31" i="55"/>
  <c r="D12" i="55"/>
  <c r="C12" i="55"/>
  <c r="D19" i="55"/>
  <c r="C19" i="55"/>
  <c r="D23" i="55"/>
  <c r="C23" i="55"/>
  <c r="D29" i="55"/>
  <c r="C29" i="55"/>
  <c r="D27" i="55"/>
  <c r="C27" i="55"/>
  <c r="D28" i="55"/>
  <c r="C28" i="55"/>
  <c r="D26" i="55"/>
  <c r="C26" i="55"/>
  <c r="D18" i="55"/>
  <c r="C18" i="55"/>
  <c r="D30" i="55"/>
  <c r="C30" i="55"/>
</calcChain>
</file>

<file path=xl/comments1.xml><?xml version="1.0" encoding="utf-8"?>
<comments xmlns="http://schemas.openxmlformats.org/spreadsheetml/2006/main">
  <authors>
    <author>thvc</author>
    <author>Admin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Lương+HĐ: 1,728 2SN:900.00+ttHANH 825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PC ĐBHĐND: 244Tr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30tr ruyen truyền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CCTL 649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trang phuc 30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trang phuc 30</t>
        </r>
      </text>
    </comment>
    <comment ref="D35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CCTL 2.620</t>
        </r>
      </text>
    </comment>
    <comment ref="M46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70tr ĐH</t>
        </r>
      </text>
    </comment>
    <comment ref="J7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CCTL 996
TR</t>
        </r>
      </text>
    </comment>
    <comment ref="G78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TRỪ CCTL 383TR</t>
        </r>
      </text>
    </comment>
  </commentList>
</comments>
</file>

<file path=xl/comments2.xml><?xml version="1.0" encoding="utf-8"?>
<comments xmlns="http://schemas.openxmlformats.org/spreadsheetml/2006/main">
  <authors>
    <author>thvc</author>
  </authors>
  <commentList>
    <comment ref="E23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CỘNG CHI NSX</t>
        </r>
      </text>
    </comment>
  </commentList>
</comments>
</file>

<file path=xl/comments3.xml><?xml version="1.0" encoding="utf-8"?>
<comments xmlns="http://schemas.openxmlformats.org/spreadsheetml/2006/main">
  <authors>
    <author>thvc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CHƯA CONG PHAN THU XA HUONG THEO PHAN CAP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thvc:</t>
        </r>
        <r>
          <rPr>
            <sz val="9"/>
            <color indexed="81"/>
            <rFont val="Tahoma"/>
            <family val="2"/>
          </rPr>
          <t xml:space="preserve">
= THU BSNS THI XA +THU HUONG THEO PHÂN CẤP XÃ, P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thiếu thu khác</t>
        </r>
      </text>
    </comment>
  </commentList>
</comments>
</file>

<file path=xl/comments5.xml><?xml version="1.0" encoding="utf-8"?>
<comments xmlns="http://schemas.openxmlformats.org/spreadsheetml/2006/main">
  <authors>
    <author>TinHocVinhChauv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TinHocVinhChauv:</t>
        </r>
        <r>
          <rPr>
            <sz val="9"/>
            <color indexed="81"/>
            <rFont val="Tahoma"/>
            <family val="2"/>
          </rPr>
          <t xml:space="preserve">
chưa cộng ấp kk, quy mô dân cư</t>
        </r>
      </text>
    </comment>
  </commentList>
</comments>
</file>

<file path=xl/sharedStrings.xml><?xml version="1.0" encoding="utf-8"?>
<sst xmlns="http://schemas.openxmlformats.org/spreadsheetml/2006/main" count="536" uniqueCount="301">
  <si>
    <t>Chi đảm bảo xã hội</t>
  </si>
  <si>
    <t>Đvt: triệu đồng</t>
  </si>
  <si>
    <t xml:space="preserve">- Bổ sung cân đối </t>
  </si>
  <si>
    <t>Thu ngân sách hưởng theo phân cấp</t>
  </si>
  <si>
    <t>Chi thường xuyên</t>
  </si>
  <si>
    <t>Tổng cộng</t>
  </si>
  <si>
    <t>Nội dung</t>
  </si>
  <si>
    <t>Dự phòng ngân sách</t>
  </si>
  <si>
    <t>Tổng số</t>
  </si>
  <si>
    <t>Đơn vị tính: triệu đồng</t>
  </si>
  <si>
    <t>A</t>
  </si>
  <si>
    <t>B</t>
  </si>
  <si>
    <t>I</t>
  </si>
  <si>
    <t>Huyện, thành phố</t>
  </si>
  <si>
    <t>Đơn vị</t>
  </si>
  <si>
    <t>Bổ sung
cân đối</t>
  </si>
  <si>
    <t>Bổ sung
có mục tiêu</t>
  </si>
  <si>
    <t>II</t>
  </si>
  <si>
    <t xml:space="preserve"> </t>
  </si>
  <si>
    <t>III</t>
  </si>
  <si>
    <t>IV</t>
  </si>
  <si>
    <t>STT</t>
  </si>
  <si>
    <t>-</t>
  </si>
  <si>
    <t>TÊN ĐƠN VỊ</t>
  </si>
  <si>
    <t>- Bổ sung cân đối</t>
  </si>
  <si>
    <t>- Bổ sung có mục tiêu</t>
  </si>
  <si>
    <t>Dự toán
năm 2017</t>
  </si>
  <si>
    <t>V</t>
  </si>
  <si>
    <t>Thu kết dư</t>
  </si>
  <si>
    <t>Thu chuyển nguồn từ năm trước sang</t>
  </si>
  <si>
    <t>Thu chuyển nguồn từ năm trước chuyển sang</t>
  </si>
  <si>
    <t>Chi đầu tư phát triển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</si>
  <si>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</si>
  <si>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</si>
  <si>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</si>
  <si>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</si>
  <si>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 xml:space="preserve"> - Chi bổ sung cân đối</t>
  </si>
  <si>
    <t xml:space="preserve"> - Chi bổ sung có mục tiêu</t>
  </si>
  <si>
    <t>(Kèm theo Nghị quyết số               / NQ-HĐND ngày           / 12 / 2017
của Hội đồng nhân dân tỉnh Sóc Trăng)</t>
  </si>
  <si>
    <t>Tổng thu NSNN</t>
  </si>
  <si>
    <t>5 = 3/1</t>
  </si>
  <si>
    <t>6 = 4/2</t>
  </si>
  <si>
    <t>So sánh (%)</t>
  </si>
  <si>
    <t>Thu từ khu vực ngoài Quốc doanh</t>
  </si>
  <si>
    <t>Lệ phí trước bạ</t>
  </si>
  <si>
    <t>Thuế thu nhập cá nhân</t>
  </si>
  <si>
    <t xml:space="preserve">Thu phí, lệ phí                                                </t>
  </si>
  <si>
    <t>Chi đầu tư cho các dự án</t>
  </si>
  <si>
    <t>Trong đó:</t>
  </si>
  <si>
    <t>Chi giáo dục, đào tạo &amp; dạy nghề</t>
  </si>
  <si>
    <t>Chi khoa học &amp; công nghệ</t>
  </si>
  <si>
    <t>Chi đầu tư từ nguồn thu tiền sử dụng đất</t>
  </si>
  <si>
    <t>Chi đầu tư từ nguồn thu xổ số kiến thiết</t>
  </si>
  <si>
    <t>Chi đầu tư phát triển khác</t>
  </si>
  <si>
    <t>(Kèm theo Nghị quyết số                  /NQ-HĐND ngày          /  12  / 2017
của Hội đồng nhân dân tỉnh Sóc Trăng)</t>
  </si>
  <si>
    <t>Chi y tế, dân số &amp;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</si>
  <si>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</si>
  <si>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</si>
  <si>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</si>
  <si>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</si>
  <si>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</si>
  <si>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các cơ quan QLNN, đảng, đoàn thể</t>
  </si>
  <si>
    <t xml:space="preserve">TỔNG SỐ </t>
  </si>
  <si>
    <t>Tổng thu
NSNN trên địa bàn</t>
  </si>
  <si>
    <t>Bổ sung
vốn đầu tư để thực hiện các chương trình mục tiêu, nhiệm vụ</t>
  </si>
  <si>
    <t>Bổ sung
vốn sự nghiệp để thực hiện các chương trình mục tiêu, nhiệm vụ</t>
  </si>
  <si>
    <t>Bổ sung
vốn  thực hiện các chương trình mục tiêu quốc gia</t>
  </si>
  <si>
    <t>Biểu số 69/CK-NSNN</t>
  </si>
  <si>
    <t>HĐND THỊ XÃ VĨNH CHÂU</t>
  </si>
  <si>
    <t>Đơn vị: triệu đồng</t>
  </si>
  <si>
    <t>TỔNG NGUỒN THU NGÂN SÁCH THỊ XÃ</t>
  </si>
  <si>
    <t>Thu ngân sách thị xã được hưởng theo phân cấp</t>
  </si>
  <si>
    <t>Thu ngân sách thị xã hưởng 100%</t>
  </si>
  <si>
    <t>Thu ngân sách thị xã từ các khoản thu phân chia</t>
  </si>
  <si>
    <t>TỔNG CHI NGÂN SÁCH THỊ XÃ</t>
  </si>
  <si>
    <t>Tổng chi cân đối ngân sách thị xã</t>
  </si>
  <si>
    <t>Biểu số 70/CK-NSNN</t>
  </si>
  <si>
    <t>Ngân sách cấp thị xã</t>
  </si>
  <si>
    <t>Thu ngân sách cấp thị xã hưởng theo phân cấp</t>
  </si>
  <si>
    <t>Chi thuộc nhiệm vụ của ngân sách cấp thị xã</t>
  </si>
  <si>
    <t>Thu bổ sung từ ngân sách cấp thị xã</t>
  </si>
  <si>
    <t>(Kèm theo Nghị quyết số         /NQ-HĐND ngày         /  12 / 2017
của Hội đồng nhân dân thị xã Sóc Trăng)</t>
  </si>
  <si>
    <t>Bổ sung từ ngân sách cấp trên</t>
  </si>
  <si>
    <t xml:space="preserve">Chi ngân sách </t>
  </si>
  <si>
    <t>Bổ sung cho ngân sách xã, phường</t>
  </si>
  <si>
    <t>Ngân sách xã, phường</t>
  </si>
  <si>
    <t xml:space="preserve">Nguồn thu ngân sách </t>
  </si>
  <si>
    <t>Thu NS 
thị xã</t>
  </si>
  <si>
    <t>Thu NS
thị xã</t>
  </si>
  <si>
    <t>Thu tiền sử dụng đất</t>
  </si>
  <si>
    <t>Thu khác ngân sách</t>
  </si>
  <si>
    <t>Tổng chi ngân sách thị xã</t>
  </si>
  <si>
    <t>Chi bổ sung cân đối cho ngân sách xã</t>
  </si>
  <si>
    <t>Chi ngân sách cấp thị xã theo lĩnh vực</t>
  </si>
  <si>
    <t>Thu NS
xã, phường hưởng 100%</t>
  </si>
  <si>
    <t>Thu NS xã, phường
được hưởng từ các khoản phân chia</t>
  </si>
  <si>
    <t>Số bổ sung cân đối từ ngân sách cấp thị xã</t>
  </si>
  <si>
    <t>Tổng chi cân đối ngân sách xã, phường</t>
  </si>
  <si>
    <t>Chi bổ sung thực hiện điều chỉnh tiền lương</t>
  </si>
  <si>
    <t>Phường 1</t>
  </si>
  <si>
    <t>Phường 2</t>
  </si>
  <si>
    <t>Phường Vĩnh Phước</t>
  </si>
  <si>
    <t>Phường Khánh Hòa</t>
  </si>
  <si>
    <t>Xã Vĩnh Tân</t>
  </si>
  <si>
    <t>Xã Vĩnh Hải</t>
  </si>
  <si>
    <t>Xã Hòa Đông</t>
  </si>
  <si>
    <t>Xã Vĩnh Hiệp</t>
  </si>
  <si>
    <t>Thu ngân sách xã, phường được hưởng
theo phân cấp</t>
  </si>
  <si>
    <t>Chi quốc phòng</t>
  </si>
  <si>
    <t>Chi an ninh</t>
  </si>
  <si>
    <t xml:space="preserve"> Ứng dụng công nghệ thông tin</t>
  </si>
  <si>
    <t xml:space="preserve"> Các khoản chi không tự chủ</t>
  </si>
  <si>
    <t>TRONG ĐÓ</t>
  </si>
  <si>
    <t>CHI NÔNG NGHIỆP, LÂM NGHIỆP, THỦY LỢI, THỦY SẢN</t>
  </si>
  <si>
    <t>CHI BẢO ĐẢM XÃ HỘI</t>
  </si>
  <si>
    <t>CHI CÁC HOẠT ĐỘNG KINH TẾ</t>
  </si>
  <si>
    <t>Bổ sung từ ngân sách tỉnh</t>
  </si>
  <si>
    <t>Chi y tế</t>
  </si>
  <si>
    <t>Trong đó: Chi đầu tư cho các dự án</t>
  </si>
  <si>
    <t>TRONG ĐÓ:</t>
  </si>
  <si>
    <t>CHI THỂ DỤC THỂ THAO</t>
  </si>
  <si>
    <t>CHI BẢO VỆ MÔI TRƯỜNG</t>
  </si>
  <si>
    <t>CHI GIAO THÔNG</t>
  </si>
  <si>
    <t xml:space="preserve"> TỔNG SỐ</t>
  </si>
  <si>
    <t xml:space="preserve"> Hội Nạn nhân CĐ da cam</t>
  </si>
  <si>
    <t xml:space="preserve"> Hội Khuyến học</t>
  </si>
  <si>
    <t xml:space="preserve"> Hội Chiến sĩ CMBĐBTĐ</t>
  </si>
  <si>
    <t xml:space="preserve"> Hội Luật gia</t>
  </si>
  <si>
    <t xml:space="preserve"> Hội Người Cao tuổi</t>
  </si>
  <si>
    <t xml:space="preserve"> Hội Người mù</t>
  </si>
  <si>
    <t xml:space="preserve"> Hỗ trợ Tòa án nhân dân</t>
  </si>
  <si>
    <t xml:space="preserve"> Hỗ trợ Chi cục Thống kê</t>
  </si>
  <si>
    <t xml:space="preserve"> -</t>
  </si>
  <si>
    <t xml:space="preserve"> Cải cách hành chính </t>
  </si>
  <si>
    <t>Chi sự nghiệp kinh tế khác</t>
  </si>
  <si>
    <t>Trong đó chia theo lĩnh vực:</t>
  </si>
  <si>
    <t>Chi giáo dục - đào tạo và dạy nghề</t>
  </si>
  <si>
    <t>Chi khoa học và công nghệ</t>
  </si>
  <si>
    <t>Trong đó chia theo nguồn vốn:</t>
  </si>
  <si>
    <t>Chi dự phòng ngân sách</t>
  </si>
  <si>
    <t>CHI CÁC CHƯƠNG TRÌNH MỤC TIÊU</t>
  </si>
  <si>
    <t>CHI CÂN ĐỐI NGÂN SÁCH THỊ XÃ</t>
  </si>
  <si>
    <t>CHI AN NINH QUỐC PHÒNG</t>
  </si>
  <si>
    <t xml:space="preserve">Văn phòng Thị ủy </t>
  </si>
  <si>
    <t xml:space="preserve"> Công an</t>
  </si>
  <si>
    <t xml:space="preserve"> Hỗ trợ Viện Kiểm Sát nhân dân</t>
  </si>
  <si>
    <t>Đơn vị tính: triệu đồng</t>
  </si>
  <si>
    <t>ĐƠN VỊ</t>
  </si>
  <si>
    <t>Xaõ phöôøng</t>
  </si>
  <si>
    <t xml:space="preserve">Thu phí và lệ phí </t>
  </si>
  <si>
    <t>Phí môn bài</t>
  </si>
  <si>
    <t>Thu khác ngân sách</t>
  </si>
  <si>
    <t>TỔNG SỐ</t>
  </si>
  <si>
    <t>(Kèm theo báo cáo số         /BC-UBND ngày         /  12 / 2017 của Ủy ban nhân dân thị xã Vĩnh Châu)</t>
  </si>
  <si>
    <t>PL 01-DT</t>
  </si>
  <si>
    <t>PL 02-DT</t>
  </si>
  <si>
    <t>PL 04-DT</t>
  </si>
  <si>
    <t>CHI ĐÀO TẠO VÀ DẠY NGHỀ</t>
  </si>
  <si>
    <t>Kinh phí quản lý hành chính</t>
  </si>
  <si>
    <t xml:space="preserve">Trong đó: hỗ trợ chi quốc phòng xã, phường </t>
  </si>
  <si>
    <t xml:space="preserve"> Hỗ trợ Chi cục Thi hành án (Bao gồm kinh phí hoạt động Ban chỉ đạo thi hành án dân sự)</t>
  </si>
  <si>
    <t>Chi giáo dục</t>
  </si>
  <si>
    <t>Chi  đào tạo &amp; dạy nghề</t>
  </si>
  <si>
    <t>CHI GIÁO DỤC</t>
  </si>
  <si>
    <t>Văn phòng HĐND&amp;UBND</t>
  </si>
  <si>
    <t>Trung tâm giáo dục nghề nghiệp - giáo dục thường xuyên</t>
  </si>
  <si>
    <t>CHI Y TẾ</t>
  </si>
  <si>
    <t xml:space="preserve">So sánh (3)
</t>
  </si>
  <si>
    <t>Tuyệt đối</t>
  </si>
  <si>
    <t>Tương đối</t>
  </si>
  <si>
    <t>TỔNG CHI NGÂN SÁCH ĐỊA PHƯƠNG</t>
  </si>
  <si>
    <t>So sánh</t>
  </si>
  <si>
    <t>Tương đối (%)</t>
  </si>
  <si>
    <t>4=2/1</t>
  </si>
  <si>
    <t>3=2-1</t>
  </si>
  <si>
    <t xml:space="preserve">So sánh </t>
  </si>
  <si>
    <t>TỔNG THU NSNN TRÊN ĐỊA BÀN</t>
  </si>
  <si>
    <t>BAO GỒM</t>
  </si>
  <si>
    <t>Thuế giá trị gia tăng</t>
  </si>
  <si>
    <t>DỰ TOÁN CHI NGÂN SÁCH THỊ XÃ, CHI NGÂN SÁCH CẤP THỊ XÃ</t>
  </si>
  <si>
    <t>Ngân sách thị xã</t>
  </si>
  <si>
    <t>Chia ra</t>
  </si>
  <si>
    <t>Ngân sách xã</t>
  </si>
  <si>
    <t>1=2+3</t>
  </si>
  <si>
    <t>CHI QUẢN LÝ HÀNH CHÍNH</t>
  </si>
  <si>
    <t>CHI THƯỜNG XUYÊN KHÁC</t>
  </si>
  <si>
    <t>Các khoản chi quản lý tại ngân sách</t>
  </si>
  <si>
    <t>PL 03 - DT</t>
  </si>
  <si>
    <t>PL 07-DT</t>
  </si>
  <si>
    <t>PL 08-DT</t>
  </si>
  <si>
    <t>Chi thường xuyên khác</t>
  </si>
  <si>
    <t>PL 06 - DT</t>
  </si>
  <si>
    <t>PL 09-DT</t>
  </si>
  <si>
    <t>PL 10-DT</t>
  </si>
  <si>
    <t xml:space="preserve"> +</t>
  </si>
  <si>
    <t>Kinh phí bảo vệ đất trồng lúa</t>
  </si>
  <si>
    <t xml:space="preserve">Chi sự nghiệp kinh tế </t>
  </si>
  <si>
    <t>Bổ sung có mục tiêu từ nguồn xổ số kiến thiết</t>
  </si>
  <si>
    <t>Bổ sung có mục tiêu từ nguồn vốn bổ sung có mục tiêu của NSTW</t>
  </si>
  <si>
    <t>Vốn sự nghiệp</t>
  </si>
  <si>
    <t>C</t>
  </si>
  <si>
    <t>Chi bổ sung cho ngân sách xã</t>
  </si>
  <si>
    <t>Chi bổ sung có mục tiêu cho ngân sách xã</t>
  </si>
  <si>
    <t>Chi từ nguồn kết dư ngân sách</t>
  </si>
  <si>
    <t>Chi tạo nguồn, điều chỉnh tiền lương</t>
  </si>
  <si>
    <t>HĐND</t>
  </si>
  <si>
    <t>NTM+Đô thị văn minh</t>
  </si>
  <si>
    <t>Chi đào tạo dạy nghề</t>
  </si>
  <si>
    <t>Kinh phí  hoạt động cơ sở Đảng theo Quyết Định số 99-QĐ/TW</t>
  </si>
  <si>
    <t>Chi kết dư</t>
  </si>
  <si>
    <t>Kinh phí đảm bảo hoạt động UBND thị xã</t>
  </si>
  <si>
    <t>Kinh phí hoạt động HĐND, đại biểu HĐND thị xã</t>
  </si>
  <si>
    <t>(Kèm theo Nghị quyết số         /NQ-UBND ngày         / 11 / 2019 của Hội đồng nhân dân thị xã Vĩnh Châu)</t>
  </si>
  <si>
    <t xml:space="preserve"> Phòng Nội vụ </t>
  </si>
  <si>
    <t xml:space="preserve"> Phòng Tư pháp</t>
  </si>
  <si>
    <t>Kinh phí duy trì phần mềm QLTS</t>
  </si>
  <si>
    <t>Kinh phí đảm bảo trật tự an toàn giao thông</t>
  </si>
  <si>
    <t>Kinh phí thực hiện các nhiệm vụ chuyên môn thuộc lĩnh vực ngành</t>
  </si>
  <si>
    <t xml:space="preserve"> Phòng Văn hóa &amp; Thông tin </t>
  </si>
  <si>
    <t xml:space="preserve"> Phòng Tài chính - Kế hoạch </t>
  </si>
  <si>
    <t xml:space="preserve"> Phòng Kinh tế</t>
  </si>
  <si>
    <t xml:space="preserve"> Phòng Tài nguyên &amp; Môi trường </t>
  </si>
  <si>
    <t xml:space="preserve"> Thanh tra </t>
  </si>
  <si>
    <t xml:space="preserve"> Phòng Giáo dục &amp; Đào tạo  </t>
  </si>
  <si>
    <t xml:space="preserve"> Phòng Quản lý đô thị </t>
  </si>
  <si>
    <t xml:space="preserve"> Phòng Dân tộc </t>
  </si>
  <si>
    <t xml:space="preserve"> Thị đoàn </t>
  </si>
  <si>
    <t xml:space="preserve"> Hội Liên hiệp phụ nữ </t>
  </si>
  <si>
    <t xml:space="preserve"> Hội Nông dân </t>
  </si>
  <si>
    <t xml:space="preserve"> Hội Cựu chiến binh </t>
  </si>
  <si>
    <t xml:space="preserve"> Hội Chữ thập đỏ</t>
  </si>
  <si>
    <t>Ủy ban MTTQVN thị xã Vĩnh Châu</t>
  </si>
  <si>
    <t xml:space="preserve"> - </t>
  </si>
  <si>
    <t>Kinh phí kiến thiết đô thị</t>
  </si>
  <si>
    <t xml:space="preserve">Thuế thu nhập doanh nghiệp   </t>
  </si>
  <si>
    <t xml:space="preserve">Thuế giá trị gia tăng         </t>
  </si>
  <si>
    <t>Thuế tài nguyên</t>
  </si>
  <si>
    <t>Thuế tiêu thụ đặc biệt</t>
  </si>
  <si>
    <t>Thu khác</t>
  </si>
  <si>
    <t>Trường Mầm non Vĩnh Phước</t>
  </si>
  <si>
    <t>ĐVT: triệu đồng</t>
  </si>
  <si>
    <t>Xã Lạc Hòa</t>
  </si>
  <si>
    <t>Dự toán năm 2022</t>
  </si>
  <si>
    <t>Thu từ DNNN</t>
  </si>
  <si>
    <t>Dự toán
năm 2022</t>
  </si>
  <si>
    <t>Kinh phí hoạt động của HĐ 68 theo NĐ 161/NĐ-CP</t>
  </si>
  <si>
    <t>Trong đó: Kinh phí hoạt động của HĐ 68 theo NĐ 161/NĐ-CP</t>
  </si>
  <si>
    <t xml:space="preserve">DỰ TOÁN CHI BỔ SUNG CÓ MỤC TIÊU TỪ NGÂN SÁCH CẤP THỊ XÃ
CHO NGÂN SÁCH TỪNG XÃ, PHƯỜNG NĂM 2022
</t>
  </si>
  <si>
    <t>Bổ sung có mục tiêu để thực hiện các chương trình mục tiêu, nhiệm vụ giao đầu năm</t>
  </si>
  <si>
    <t>Bổ sung có mục tiêu để thực hiện các chương trình mục tiêu, nhiệm vụ giao trong năm</t>
  </si>
  <si>
    <t>Bổ sung có mục tiêu từ nguồn vốn xổ số kiến thiết</t>
  </si>
  <si>
    <t>Trường THCS Lạc Hòa</t>
  </si>
  <si>
    <t>Kinh phí quy hoạch</t>
  </si>
  <si>
    <t>Trường Mầm Non Vĩnh Phước</t>
  </si>
  <si>
    <t>+</t>
  </si>
  <si>
    <t>Chi khác ngân sách</t>
  </si>
  <si>
    <t>DỰ TOÁN CHI NGÂN SÁCH CẤP THỊ XÃ THEO TỪNG LĨNH VỰC
NĂM 2023</t>
  </si>
  <si>
    <t>Ước thực hiện năm 2022</t>
  </si>
  <si>
    <t>Dự toán
năm 2023</t>
  </si>
  <si>
    <t>DỰ TOÁN THU NGÂN SÁCH NHÀ NƯỚC THEO LĨNH VỰC NĂM 2023</t>
  </si>
  <si>
    <t>Dự toán năm 2023</t>
  </si>
  <si>
    <t>Trung tâm Văn hoá - Thể thao - Truyền thanh</t>
  </si>
  <si>
    <t>CHI VĂN HÓA THÔNG TIN- THỂ THAO- TRUYỀN THANH</t>
  </si>
  <si>
    <t>Chi văn hóa thông tin - thể thao - Truyền thanh</t>
  </si>
  <si>
    <t>Trung tâm y tế thị xã</t>
  </si>
  <si>
    <t>Trường Tiểu học Lạc Hòa 1</t>
  </si>
  <si>
    <t>Trường THCS Vĩnh Hải (giai đoạn 2)</t>
  </si>
  <si>
    <t>Trường THCS Phường 2</t>
  </si>
  <si>
    <t>CÂN ĐỐI NGÂN SÁCH THỊ XÃ NĂM 2023</t>
  </si>
  <si>
    <t>Ước thực hiện
năm 2022</t>
  </si>
  <si>
    <t xml:space="preserve"> VÀ CHI NGÂN SÁCH XÃ THEO CƠ CẤU CHI NĂM 2023</t>
  </si>
  <si>
    <t>DỰ TOÁN CHI NGÂN SÁCH ĐỊA PHƯƠNG THEO CƠ CẤU CHI NĂM 2023</t>
  </si>
  <si>
    <t>CÂN ĐỐI NGUỒN THU, CHI DỰ TOÁN NGÂN SÁCH CẤP THỊ XÃ VÀ NGÂN SÁCH CẤP XÃ NĂM 2023</t>
  </si>
  <si>
    <t>DỰ TOÁN CHI THƯỜNG XUYÊN CỦA NGÂN SÁCH CẤP THỊ XÃ CHO TỪNG CƠ QUAN, TỔ CHỨC NĂM 2023</t>
  </si>
  <si>
    <t>DỰ TOÁN THU NGÂN SÁCH NHÀ NƯỚC TRÊN ĐỊA BÀN
 TỪNG XÃ, PHƯỜNG THEO LĨNH VỰC NĂM 2023</t>
  </si>
  <si>
    <t>5= 6 - 2</t>
  </si>
  <si>
    <t>Chi sự nghiệp văn hóa thông tin - thể thao- Truyền Thanh</t>
  </si>
  <si>
    <t>Kinh phí lập kế hoạch sử dụng đất</t>
  </si>
  <si>
    <t>Chi văn hóa thông tin, thể dục thể thao - Truyền Thanh</t>
  </si>
  <si>
    <t>Dự toán</t>
  </si>
  <si>
    <t xml:space="preserve"> Ban Chỉ huy Quân sự thị xã</t>
  </si>
  <si>
    <t xml:space="preserve"> Đồn Biên phòng Vĩnh Châu</t>
  </si>
  <si>
    <t xml:space="preserve"> Đồn Biên phòng Vĩnh Hải</t>
  </si>
  <si>
    <t xml:space="preserve"> Đồn Biên phòng Lai Hòa</t>
  </si>
  <si>
    <t>(Kèm theo Báo cáo số         /BC-UBND ngày       tháng       năm 2022 
của Ủy ban nhân dân thị xã Vĩnh Châu)</t>
  </si>
  <si>
    <t>(Kèm theo Báo cáo số           /BC-UBND ngày        tháng         năm 2022 của Ủy ban nhân dân thị xã Vĩnh Châu)</t>
  </si>
  <si>
    <t xml:space="preserve"> Phòng Lao động - Thương binh và Xã hội</t>
  </si>
  <si>
    <t>Bổ sung cân đối</t>
  </si>
  <si>
    <t>Bổ sung có mục tiêu</t>
  </si>
  <si>
    <t>Chi chuyển nguồn từ ngân sách năm trước</t>
  </si>
  <si>
    <t>(Kèm theo Báo cáo số          /BC-UBND ngày       tháng        năm 2022 của Ủy ban nhân dân thị xã Vĩnh Châu)</t>
  </si>
  <si>
    <t>Trường Tiểu học Vĩnh Hiệp 1</t>
  </si>
  <si>
    <t>Trường Tiểu học Lạc Hòa 2</t>
  </si>
  <si>
    <t>Trường Tiểu học Vĩnh Hải 2</t>
  </si>
  <si>
    <t>Xã Lai Hòa</t>
  </si>
  <si>
    <t>(Kèm theo Báo cáo số           /BC-UBND ngày        tháng         năm 2022 
của Ủy ban nhân dân thị xã Vĩnh Châu)</t>
  </si>
  <si>
    <t>(Kèm theo Báo cáo số           /BC-UBND ngày        tháng         năm 2022
 của Ủy ban nhân dân thị xã Vĩnh Châu)</t>
  </si>
  <si>
    <t>(Kèm theo Báo cáo số          /BC-UBND ngày       tháng        năm 2022 
của Ủy ban nhân dân thị xã Vĩnh Châu)</t>
  </si>
  <si>
    <t>(Kèm theo Báo cáo số           /BC-UBND ngày      tháng      năm 2022
 của Ủy ban nhân dân thị xã Vĩnh Châu)</t>
  </si>
  <si>
    <t>Duy tu, sửa chữa lộ giao thông nông thôn do xã, phường quản lý</t>
  </si>
  <si>
    <t>DỰ TOÁN THU, SỐ BỔ SUNG VÀ DỰ TOÁN CHI CÂN ĐỐI NGÂN SÁCH TỪNG XÃ, PHƯỜNG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</si>
</sst>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#,##0\ &quot;₫&quot;;\-#,##0\ &quot;₫&quot;"/>
    <numFmt numFmtId="166" formatCode="#,#00"/>
    <numFmt numFmtId="167" formatCode="_(* #,##0_);_(* \(#,##0\);_(* &quot;-&quot;??_);_(@_)"/>
    <numFmt numFmtId="168" formatCode="_-* #,##0_-;\-* #,##0_-;_-* &quot;-&quot;??_-;_-@_-"/>
    <numFmt numFmtId="169" formatCode="_-* #,##0\ _€_-;\-* #,##0\ _€_-;_-* &quot;-&quot;??\ _€_-;_-@_-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3"/>
      <name val="VnTime"/>
    </font>
    <font>
      <sz val="11"/>
      <name val=".VnArial Narrow"/>
      <family val="2"/>
    </font>
    <font>
      <sz val="12"/>
      <color indexed="12"/>
      <name val="Times New Roman"/>
      <family val="1"/>
    </font>
    <font>
      <sz val="10"/>
      <name val="Arial"/>
      <family val="2"/>
    </font>
    <font>
      <b/>
      <sz val="12"/>
      <color indexed="12"/>
      <name val="Times New Roman"/>
      <family val="1"/>
    </font>
    <font>
      <sz val="13"/>
      <color indexed="12"/>
      <name val="Times New Roman"/>
      <family val="1"/>
    </font>
    <font>
      <i/>
      <sz val="12"/>
      <color indexed="12"/>
      <name val="Times New Roman"/>
      <family val="1"/>
    </font>
    <font>
      <b/>
      <sz val="13"/>
      <color indexed="12"/>
      <name val="Times New Roman"/>
      <family val="1"/>
    </font>
    <font>
      <sz val="11"/>
      <color indexed="8"/>
      <name val="Times New Roman"/>
      <family val="2"/>
      <charset val="163"/>
    </font>
    <font>
      <sz val="13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2"/>
    </font>
    <font>
      <sz val="10"/>
      <name val="VNI-Helve-Condense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4"/>
      <color indexed="12"/>
      <name val="Times New Roman"/>
      <family val="1"/>
    </font>
    <font>
      <sz val="14"/>
      <color indexed="12"/>
      <name val=".VnArial Narrow"/>
      <family val="2"/>
    </font>
    <font>
      <sz val="14"/>
      <color indexed="12"/>
      <name val="Times New Roman"/>
      <family val="1"/>
    </font>
    <font>
      <i/>
      <sz val="14"/>
      <color indexed="12"/>
      <name val="Times New Roman"/>
      <family val="1"/>
    </font>
    <font>
      <b/>
      <sz val="14"/>
      <color indexed="12"/>
      <name val=".VnAvantH"/>
      <family val="2"/>
    </font>
    <font>
      <i/>
      <sz val="14"/>
      <color indexed="12"/>
      <name val=".VnArial Narrow"/>
      <family val="2"/>
    </font>
    <font>
      <b/>
      <i/>
      <sz val="14"/>
      <color indexed="12"/>
      <name val=".VnArial Narrow"/>
      <family val="2"/>
    </font>
    <font>
      <b/>
      <sz val="14"/>
      <color indexed="12"/>
      <name val=".VnArial Narrow"/>
      <family val="2"/>
    </font>
    <font>
      <b/>
      <u/>
      <sz val="14"/>
      <color indexed="12"/>
      <name val=".VnArial Narrow"/>
      <family val="2"/>
    </font>
    <font>
      <b/>
      <sz val="14"/>
      <color indexed="12"/>
      <name val=".VnTime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4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u/>
      <sz val="14"/>
      <color indexed="12"/>
      <name val="Times New Roman"/>
      <family val="1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4"/>
      <name val=".VnArial Narrow"/>
      <family val="2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165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7" fillId="0" borderId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4" fillId="0" borderId="0"/>
    <xf numFmtId="0" fontId="55" fillId="0" borderId="0"/>
  </cellStyleXfs>
  <cellXfs count="431">
    <xf numFmtId="0" fontId="0" fillId="0" borderId="0" xfId="0"/>
    <xf numFmtId="3" fontId="25" fillId="2" borderId="4" xfId="14" applyNumberFormat="1" applyFont="1" applyFill="1" applyBorder="1" applyAlignment="1">
      <alignment horizontal="right" vertical="center"/>
    </xf>
    <xf numFmtId="0" fontId="6" fillId="0" borderId="0" xfId="10" applyFont="1" applyFill="1" applyAlignment="1">
      <alignment horizontal="centerContinuous" vertical="center"/>
    </xf>
    <xf numFmtId="0" fontId="6" fillId="0" borderId="0" xfId="1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center"/>
    </xf>
    <xf numFmtId="0" fontId="10" fillId="0" borderId="0" xfId="10" applyFont="1" applyFill="1" applyAlignment="1">
      <alignment horizontal="centerContinuous" vertical="center"/>
    </xf>
    <xf numFmtId="0" fontId="6" fillId="0" borderId="1" xfId="10" applyFont="1" applyFill="1" applyBorder="1" applyAlignment="1">
      <alignment horizontal="centerContinuous" vertical="center"/>
    </xf>
    <xf numFmtId="0" fontId="8" fillId="0" borderId="0" xfId="10" applyFont="1" applyFill="1" applyAlignment="1">
      <alignment horizontal="center" vertical="center"/>
    </xf>
    <xf numFmtId="0" fontId="6" fillId="0" borderId="2" xfId="10" applyFont="1" applyFill="1" applyBorder="1" applyAlignment="1">
      <alignment horizontal="centerContinuous" vertical="center"/>
    </xf>
    <xf numFmtId="0" fontId="6" fillId="0" borderId="3" xfId="10" applyFont="1" applyFill="1" applyBorder="1" applyAlignment="1">
      <alignment horizontal="center" vertical="center"/>
    </xf>
    <xf numFmtId="3" fontId="8" fillId="0" borderId="5" xfId="10" applyNumberFormat="1" applyFont="1" applyFill="1" applyBorder="1" applyAlignment="1">
      <alignment vertical="center"/>
    </xf>
    <xf numFmtId="0" fontId="8" fillId="0" borderId="0" xfId="10" applyFont="1" applyFill="1" applyAlignment="1">
      <alignment vertical="center"/>
    </xf>
    <xf numFmtId="3" fontId="6" fillId="0" borderId="0" xfId="10" applyNumberFormat="1" applyFont="1" applyFill="1" applyBorder="1" applyAlignment="1">
      <alignment vertical="center"/>
    </xf>
    <xf numFmtId="0" fontId="30" fillId="0" borderId="0" xfId="8" applyFont="1" applyFill="1" applyAlignment="1">
      <alignment horizontal="centerContinuous" vertical="center"/>
    </xf>
    <xf numFmtId="0" fontId="32" fillId="0" borderId="0" xfId="8" applyFont="1" applyFill="1" applyAlignment="1">
      <alignment vertical="center"/>
    </xf>
    <xf numFmtId="0" fontId="30" fillId="0" borderId="0" xfId="8" applyFont="1" applyFill="1" applyAlignment="1">
      <alignment vertical="center"/>
    </xf>
    <xf numFmtId="0" fontId="33" fillId="0" borderId="0" xfId="8" applyFont="1" applyFill="1" applyAlignment="1">
      <alignment vertical="center"/>
    </xf>
    <xf numFmtId="0" fontId="45" fillId="0" borderId="0" xfId="8" applyFont="1" applyFill="1" applyAlignment="1">
      <alignment vertical="center"/>
    </xf>
    <xf numFmtId="3" fontId="32" fillId="0" borderId="0" xfId="8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4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3" fontId="16" fillId="0" borderId="4" xfId="14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center"/>
    </xf>
    <xf numFmtId="4" fontId="16" fillId="0" borderId="4" xfId="14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 wrapText="1"/>
    </xf>
    <xf numFmtId="3" fontId="23" fillId="0" borderId="4" xfId="14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vertical="center" wrapText="1"/>
    </xf>
    <xf numFmtId="3" fontId="24" fillId="0" borderId="4" xfId="14" applyNumberFormat="1" applyFont="1" applyFill="1" applyBorder="1" applyAlignment="1">
      <alignment horizontal="right" vertical="center"/>
    </xf>
    <xf numFmtId="4" fontId="23" fillId="0" borderId="4" xfId="14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6" fillId="0" borderId="4" xfId="0" applyFont="1" applyFill="1" applyBorder="1" applyAlignment="1">
      <alignment vertical="center"/>
    </xf>
    <xf numFmtId="0" fontId="19" fillId="0" borderId="0" xfId="12" applyFont="1" applyFill="1" applyAlignment="1">
      <alignment horizontal="center"/>
    </xf>
    <xf numFmtId="0" fontId="19" fillId="0" borderId="0" xfId="12" applyFont="1" applyFill="1"/>
    <xf numFmtId="0" fontId="17" fillId="0" borderId="0" xfId="12" applyFont="1" applyFill="1"/>
    <xf numFmtId="0" fontId="53" fillId="0" borderId="0" xfId="12" applyFont="1" applyFill="1"/>
    <xf numFmtId="0" fontId="29" fillId="0" borderId="0" xfId="12" applyFont="1" applyFill="1" applyBorder="1" applyAlignment="1">
      <alignment horizontal="center" vertical="center"/>
    </xf>
    <xf numFmtId="0" fontId="53" fillId="0" borderId="0" xfId="12" applyFont="1" applyFill="1" applyAlignment="1">
      <alignment vertical="center"/>
    </xf>
    <xf numFmtId="0" fontId="19" fillId="0" borderId="0" xfId="12" applyFont="1" applyFill="1" applyAlignment="1">
      <alignment vertical="center"/>
    </xf>
    <xf numFmtId="0" fontId="25" fillId="0" borderId="0" xfId="12" applyFont="1" applyFill="1" applyBorder="1" applyAlignment="1">
      <alignment horizontal="center"/>
    </xf>
    <xf numFmtId="0" fontId="48" fillId="0" borderId="0" xfId="12" applyFont="1" applyFill="1" applyBorder="1" applyAlignment="1">
      <alignment horizontal="right" vertical="center"/>
    </xf>
    <xf numFmtId="0" fontId="15" fillId="0" borderId="0" xfId="12" applyFont="1" applyFill="1"/>
    <xf numFmtId="0" fontId="16" fillId="0" borderId="4" xfId="12" applyFont="1" applyFill="1" applyBorder="1" applyAlignment="1">
      <alignment horizontal="center" vertical="center"/>
    </xf>
    <xf numFmtId="0" fontId="16" fillId="0" borderId="4" xfId="12" applyFont="1" applyFill="1" applyBorder="1" applyAlignment="1">
      <alignment horizontal="left" vertical="center"/>
    </xf>
    <xf numFmtId="168" fontId="16" fillId="0" borderId="4" xfId="15" applyNumberFormat="1" applyFont="1" applyFill="1" applyBorder="1" applyAlignment="1">
      <alignment horizontal="right" vertical="center"/>
    </xf>
    <xf numFmtId="0" fontId="14" fillId="0" borderId="0" xfId="12" applyFont="1" applyFill="1" applyAlignment="1">
      <alignment vertical="center"/>
    </xf>
    <xf numFmtId="0" fontId="23" fillId="0" borderId="4" xfId="12" applyFont="1" applyFill="1" applyBorder="1" applyAlignment="1">
      <alignment horizontal="center" vertical="center"/>
    </xf>
    <xf numFmtId="0" fontId="23" fillId="0" borderId="4" xfId="12" applyFont="1" applyFill="1" applyBorder="1" applyAlignment="1">
      <alignment vertical="center"/>
    </xf>
    <xf numFmtId="168" fontId="23" fillId="0" borderId="4" xfId="15" applyNumberFormat="1" applyFont="1" applyFill="1" applyBorder="1" applyAlignment="1">
      <alignment horizontal="right" vertical="center"/>
    </xf>
    <xf numFmtId="168" fontId="13" fillId="0" borderId="4" xfId="15" applyNumberFormat="1" applyFont="1" applyFill="1" applyBorder="1" applyAlignment="1">
      <alignment horizontal="right" vertical="center"/>
    </xf>
    <xf numFmtId="168" fontId="47" fillId="0" borderId="4" xfId="12" applyNumberFormat="1" applyFont="1" applyFill="1" applyBorder="1" applyAlignment="1">
      <alignment vertical="center"/>
    </xf>
    <xf numFmtId="168" fontId="19" fillId="0" borderId="0" xfId="12" applyNumberFormat="1" applyFont="1" applyFill="1"/>
    <xf numFmtId="0" fontId="31" fillId="0" borderId="0" xfId="7" applyFont="1" applyFill="1" applyAlignment="1">
      <alignment vertical="center"/>
    </xf>
    <xf numFmtId="0" fontId="32" fillId="0" borderId="0" xfId="7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7" applyFont="1" applyFill="1" applyAlignment="1">
      <alignment vertical="center"/>
    </xf>
    <xf numFmtId="0" fontId="34" fillId="0" borderId="0" xfId="7" applyFont="1" applyFill="1" applyAlignment="1">
      <alignment horizontal="center" vertical="center"/>
    </xf>
    <xf numFmtId="0" fontId="35" fillId="0" borderId="0" xfId="7" applyFont="1" applyFill="1" applyAlignment="1">
      <alignment vertical="center"/>
    </xf>
    <xf numFmtId="0" fontId="36" fillId="0" borderId="0" xfId="7" applyFont="1" applyFill="1" applyAlignment="1">
      <alignment vertical="center"/>
    </xf>
    <xf numFmtId="0" fontId="37" fillId="0" borderId="0" xfId="7" applyFont="1" applyFill="1" applyAlignment="1">
      <alignment vertical="center"/>
    </xf>
    <xf numFmtId="3" fontId="31" fillId="0" borderId="0" xfId="7" applyNumberFormat="1" applyFont="1" applyFill="1" applyAlignment="1">
      <alignment vertical="center"/>
    </xf>
    <xf numFmtId="3" fontId="35" fillId="0" borderId="0" xfId="7" applyNumberFormat="1" applyFont="1" applyFill="1" applyAlignment="1">
      <alignment vertical="center"/>
    </xf>
    <xf numFmtId="0" fontId="38" fillId="0" borderId="0" xfId="7" applyFont="1" applyFill="1" applyAlignment="1">
      <alignment vertical="center"/>
    </xf>
    <xf numFmtId="3" fontId="39" fillId="0" borderId="0" xfId="7" applyNumberFormat="1" applyFont="1" applyFill="1" applyAlignment="1">
      <alignment horizontal="center" vertical="center"/>
    </xf>
    <xf numFmtId="0" fontId="30" fillId="0" borderId="0" xfId="7" applyNumberFormat="1" applyFont="1" applyFill="1" applyAlignment="1">
      <alignment horizontal="left" vertical="center"/>
    </xf>
    <xf numFmtId="0" fontId="30" fillId="0" borderId="0" xfId="7" applyFont="1" applyFill="1" applyAlignment="1">
      <alignment horizontal="left" vertical="center"/>
    </xf>
    <xf numFmtId="0" fontId="32" fillId="0" borderId="0" xfId="7" applyNumberFormat="1" applyFont="1" applyFill="1" applyBorder="1" applyAlignment="1">
      <alignment horizontal="right" vertical="center"/>
    </xf>
    <xf numFmtId="0" fontId="32" fillId="0" borderId="0" xfId="8" applyNumberFormat="1" applyFont="1" applyFill="1" applyBorder="1" applyAlignment="1">
      <alignment horizontal="center" vertical="center"/>
    </xf>
    <xf numFmtId="0" fontId="30" fillId="0" borderId="0" xfId="8" applyFont="1" applyFill="1" applyAlignment="1">
      <alignment horizontal="center" vertical="center"/>
    </xf>
    <xf numFmtId="0" fontId="15" fillId="2" borderId="0" xfId="7" applyFont="1" applyFill="1" applyAlignment="1">
      <alignment horizontal="left" vertical="center"/>
    </xf>
    <xf numFmtId="0" fontId="14" fillId="2" borderId="0" xfId="9" applyFont="1" applyFill="1" applyAlignment="1">
      <alignment vertical="center"/>
    </xf>
    <xf numFmtId="0" fontId="56" fillId="2" borderId="0" xfId="9" applyFont="1" applyFill="1" applyAlignment="1">
      <alignment vertical="center"/>
    </xf>
    <xf numFmtId="0" fontId="57" fillId="2" borderId="0" xfId="9" applyFont="1" applyFill="1" applyAlignment="1">
      <alignment horizontal="center" vertical="center"/>
    </xf>
    <xf numFmtId="0" fontId="57" fillId="2" borderId="0" xfId="9" applyFont="1" applyFill="1" applyAlignment="1">
      <alignment vertical="center"/>
    </xf>
    <xf numFmtId="0" fontId="15" fillId="2" borderId="0" xfId="9" applyFont="1" applyFill="1" applyAlignment="1">
      <alignment horizontal="center" vertical="center"/>
    </xf>
    <xf numFmtId="0" fontId="14" fillId="2" borderId="0" xfId="9" applyFont="1" applyFill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14" fillId="2" borderId="0" xfId="8" applyFont="1" applyFill="1" applyAlignment="1">
      <alignment vertical="center"/>
    </xf>
    <xf numFmtId="0" fontId="20" fillId="2" borderId="0" xfId="0" applyFont="1" applyFill="1" applyAlignment="1">
      <alignment horizontal="center" vertical="center" wrapText="1"/>
    </xf>
    <xf numFmtId="0" fontId="40" fillId="0" borderId="0" xfId="7" applyFont="1" applyFill="1" applyAlignment="1">
      <alignment vertical="center"/>
    </xf>
    <xf numFmtId="0" fontId="18" fillId="0" borderId="8" xfId="7" applyFont="1" applyFill="1" applyBorder="1" applyAlignment="1">
      <alignment horizontal="center" vertical="center" wrapText="1"/>
    </xf>
    <xf numFmtId="0" fontId="18" fillId="0" borderId="10" xfId="7" applyFont="1" applyFill="1" applyBorder="1" applyAlignment="1">
      <alignment horizontal="center" vertical="center" wrapText="1"/>
    </xf>
    <xf numFmtId="0" fontId="18" fillId="0" borderId="4" xfId="7" applyFont="1" applyFill="1" applyBorder="1" applyAlignment="1">
      <alignment horizontal="center" vertical="center"/>
    </xf>
    <xf numFmtId="0" fontId="18" fillId="0" borderId="4" xfId="7" applyNumberFormat="1" applyFont="1" applyFill="1" applyBorder="1" applyAlignment="1">
      <alignment horizontal="left" vertical="center"/>
    </xf>
    <xf numFmtId="3" fontId="18" fillId="0" borderId="4" xfId="7" applyNumberFormat="1" applyFont="1" applyFill="1" applyBorder="1" applyAlignment="1">
      <alignment horizontal="right" vertical="center"/>
    </xf>
    <xf numFmtId="4" fontId="18" fillId="0" borderId="4" xfId="7" applyNumberFormat="1" applyFont="1" applyFill="1" applyBorder="1" applyAlignment="1">
      <alignment vertical="center"/>
    </xf>
    <xf numFmtId="0" fontId="18" fillId="0" borderId="4" xfId="7" applyNumberFormat="1" applyFont="1" applyFill="1" applyBorder="1" applyAlignment="1">
      <alignment horizontal="justify" vertical="center"/>
    </xf>
    <xf numFmtId="0" fontId="40" fillId="0" borderId="4" xfId="7" applyFont="1" applyFill="1" applyBorder="1" applyAlignment="1">
      <alignment horizontal="center" vertical="center"/>
    </xf>
    <xf numFmtId="0" fontId="40" fillId="0" borderId="4" xfId="7" applyNumberFormat="1" applyFont="1" applyFill="1" applyBorder="1" applyAlignment="1">
      <alignment horizontal="justify" vertical="center"/>
    </xf>
    <xf numFmtId="3" fontId="40" fillId="0" borderId="4" xfId="7" applyNumberFormat="1" applyFont="1" applyFill="1" applyBorder="1" applyAlignment="1">
      <alignment vertical="center"/>
    </xf>
    <xf numFmtId="4" fontId="40" fillId="0" borderId="4" xfId="7" applyNumberFormat="1" applyFont="1" applyFill="1" applyBorder="1" applyAlignment="1">
      <alignment vertical="center"/>
    </xf>
    <xf numFmtId="3" fontId="18" fillId="0" borderId="4" xfId="7" applyNumberFormat="1" applyFont="1" applyFill="1" applyBorder="1" applyAlignment="1">
      <alignment vertical="center"/>
    </xf>
    <xf numFmtId="0" fontId="40" fillId="0" borderId="4" xfId="7" applyNumberFormat="1" applyFont="1" applyFill="1" applyBorder="1" applyAlignment="1">
      <alignment horizontal="justify" vertical="center" wrapText="1"/>
    </xf>
    <xf numFmtId="0" fontId="28" fillId="0" borderId="4" xfId="0" applyFont="1" applyFill="1" applyBorder="1" applyAlignment="1">
      <alignment horizontal="center" vertical="center" wrapText="1"/>
    </xf>
    <xf numFmtId="3" fontId="25" fillId="0" borderId="4" xfId="14" applyNumberFormat="1" applyFont="1" applyFill="1" applyBorder="1" applyAlignment="1">
      <alignment horizontal="right" vertical="center"/>
    </xf>
    <xf numFmtId="4" fontId="25" fillId="0" borderId="4" xfId="14" applyNumberFormat="1" applyFont="1" applyFill="1" applyBorder="1" applyAlignment="1">
      <alignment horizontal="right" vertical="center"/>
    </xf>
    <xf numFmtId="0" fontId="25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3" fontId="28" fillId="0" borderId="4" xfId="14" applyNumberFormat="1" applyFont="1" applyFill="1" applyBorder="1" applyAlignment="1">
      <alignment horizontal="right" vertical="center"/>
    </xf>
    <xf numFmtId="0" fontId="42" fillId="0" borderId="4" xfId="0" applyFont="1" applyFill="1" applyBorder="1" applyAlignment="1">
      <alignment vertical="center" wrapText="1"/>
    </xf>
    <xf numFmtId="4" fontId="28" fillId="0" borderId="4" xfId="14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8" fillId="0" borderId="4" xfId="0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vertical="center" wrapText="1"/>
    </xf>
    <xf numFmtId="0" fontId="42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18" fillId="0" borderId="4" xfId="7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 wrapText="1"/>
    </xf>
    <xf numFmtId="0" fontId="32" fillId="2" borderId="0" xfId="7" applyNumberFormat="1" applyFont="1" applyFill="1" applyBorder="1" applyAlignment="1">
      <alignment horizontal="center" vertical="center"/>
    </xf>
    <xf numFmtId="0" fontId="40" fillId="2" borderId="0" xfId="7" applyFont="1" applyFill="1" applyAlignment="1">
      <alignment vertical="center"/>
    </xf>
    <xf numFmtId="3" fontId="18" fillId="2" borderId="4" xfId="7" applyNumberFormat="1" applyFont="1" applyFill="1" applyBorder="1" applyAlignment="1">
      <alignment horizontal="right" vertical="center"/>
    </xf>
    <xf numFmtId="3" fontId="40" fillId="2" borderId="4" xfId="7" applyNumberFormat="1" applyFont="1" applyFill="1" applyBorder="1" applyAlignment="1">
      <alignment vertical="center"/>
    </xf>
    <xf numFmtId="3" fontId="18" fillId="2" borderId="4" xfId="7" applyNumberFormat="1" applyFont="1" applyFill="1" applyBorder="1" applyAlignment="1">
      <alignment vertical="center"/>
    </xf>
    <xf numFmtId="3" fontId="39" fillId="2" borderId="0" xfId="7" applyNumberFormat="1" applyFont="1" applyFill="1" applyAlignment="1">
      <alignment horizontal="center" vertical="center"/>
    </xf>
    <xf numFmtId="3" fontId="31" fillId="2" borderId="0" xfId="7" applyNumberFormat="1" applyFont="1" applyFill="1" applyAlignment="1">
      <alignment vertical="center"/>
    </xf>
    <xf numFmtId="0" fontId="31" fillId="2" borderId="0" xfId="7" applyFont="1" applyFill="1" applyAlignment="1">
      <alignment vertical="center"/>
    </xf>
    <xf numFmtId="3" fontId="6" fillId="0" borderId="0" xfId="10" applyNumberFormat="1" applyFont="1" applyFill="1" applyAlignment="1">
      <alignment vertical="center"/>
    </xf>
    <xf numFmtId="0" fontId="40" fillId="0" borderId="4" xfId="0" applyFont="1" applyFill="1" applyBorder="1" applyAlignment="1">
      <alignment horizontal="justify" vertical="center"/>
    </xf>
    <xf numFmtId="0" fontId="16" fillId="0" borderId="0" xfId="7" applyNumberFormat="1" applyFont="1" applyFill="1" applyAlignment="1">
      <alignment horizontal="left" vertical="center"/>
    </xf>
    <xf numFmtId="0" fontId="16" fillId="0" borderId="0" xfId="7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58" fillId="0" borderId="0" xfId="7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8" applyNumberFormat="1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6" fillId="0" borderId="4" xfId="7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169" fontId="23" fillId="0" borderId="0" xfId="17" applyNumberFormat="1" applyFont="1" applyFill="1" applyAlignment="1">
      <alignment vertical="center"/>
    </xf>
    <xf numFmtId="0" fontId="44" fillId="0" borderId="4" xfId="0" applyFont="1" applyFill="1" applyBorder="1" applyAlignment="1">
      <alignment horizontal="center" vertical="center"/>
    </xf>
    <xf numFmtId="0" fontId="40" fillId="0" borderId="4" xfId="7" quotePrefix="1" applyFont="1" applyFill="1" applyBorder="1" applyAlignment="1">
      <alignment horizontal="center" vertical="center"/>
    </xf>
    <xf numFmtId="0" fontId="40" fillId="2" borderId="4" xfId="7" quotePrefix="1" applyFont="1" applyFill="1" applyBorder="1" applyAlignment="1">
      <alignment horizontal="center" vertical="center"/>
    </xf>
    <xf numFmtId="0" fontId="18" fillId="0" borderId="0" xfId="7" applyNumberFormat="1" applyFont="1" applyFill="1" applyAlignment="1">
      <alignment horizontal="left" vertical="center"/>
    </xf>
    <xf numFmtId="0" fontId="18" fillId="0" borderId="0" xfId="7" applyFont="1" applyFill="1" applyAlignment="1">
      <alignment horizontal="left" vertical="center"/>
    </xf>
    <xf numFmtId="0" fontId="18" fillId="0" borderId="0" xfId="8" applyFont="1" applyFill="1" applyAlignment="1">
      <alignment horizontal="centerContinuous" vertical="center"/>
    </xf>
    <xf numFmtId="0" fontId="40" fillId="0" borderId="0" xfId="8" applyNumberFormat="1" applyFont="1" applyFill="1" applyBorder="1" applyAlignment="1">
      <alignment horizontal="center" vertical="center"/>
    </xf>
    <xf numFmtId="0" fontId="40" fillId="0" borderId="0" xfId="8" applyNumberFormat="1" applyFont="1" applyFill="1" applyBorder="1" applyAlignment="1">
      <alignment horizontal="right" vertical="center"/>
    </xf>
    <xf numFmtId="0" fontId="40" fillId="0" borderId="0" xfId="8" applyFont="1" applyFill="1" applyAlignment="1">
      <alignment vertical="center"/>
    </xf>
    <xf numFmtId="3" fontId="41" fillId="0" borderId="0" xfId="8" applyNumberFormat="1" applyFont="1" applyFill="1" applyAlignment="1">
      <alignment horizontal="centerContinuous" vertical="center"/>
    </xf>
    <xf numFmtId="0" fontId="41" fillId="0" borderId="0" xfId="8" applyFont="1" applyFill="1" applyAlignment="1">
      <alignment horizontal="centerContinuous" vertical="center"/>
    </xf>
    <xf numFmtId="0" fontId="18" fillId="2" borderId="10" xfId="7" applyFont="1" applyFill="1" applyBorder="1" applyAlignment="1">
      <alignment horizontal="center" vertical="center" wrapText="1"/>
    </xf>
    <xf numFmtId="0" fontId="18" fillId="2" borderId="8" xfId="7" applyFont="1" applyFill="1" applyBorder="1" applyAlignment="1">
      <alignment vertical="center" wrapText="1"/>
    </xf>
    <xf numFmtId="3" fontId="40" fillId="0" borderId="0" xfId="8" applyNumberFormat="1" applyFont="1" applyFill="1" applyAlignment="1">
      <alignment vertical="center"/>
    </xf>
    <xf numFmtId="0" fontId="40" fillId="2" borderId="4" xfId="7" applyFont="1" applyFill="1" applyBorder="1" applyAlignment="1">
      <alignment horizontal="center" vertical="center"/>
    </xf>
    <xf numFmtId="0" fontId="18" fillId="2" borderId="4" xfId="8" applyFont="1" applyFill="1" applyBorder="1" applyAlignment="1">
      <alignment horizontal="center" vertical="center"/>
    </xf>
    <xf numFmtId="0" fontId="18" fillId="2" borderId="4" xfId="8" applyNumberFormat="1" applyFont="1" applyFill="1" applyBorder="1" applyAlignment="1">
      <alignment horizontal="justify" vertical="center"/>
    </xf>
    <xf numFmtId="3" fontId="59" fillId="2" borderId="4" xfId="8" applyNumberFormat="1" applyFont="1" applyFill="1" applyBorder="1" applyAlignment="1">
      <alignment horizontal="right" vertical="center"/>
    </xf>
    <xf numFmtId="3" fontId="59" fillId="2" borderId="4" xfId="8" applyNumberFormat="1" applyFont="1" applyFill="1" applyBorder="1" applyAlignment="1">
      <alignment vertical="center"/>
    </xf>
    <xf numFmtId="0" fontId="40" fillId="2" borderId="4" xfId="8" applyFont="1" applyFill="1" applyBorder="1" applyAlignment="1">
      <alignment vertical="center"/>
    </xf>
    <xf numFmtId="0" fontId="40" fillId="2" borderId="4" xfId="8" applyFont="1" applyFill="1" applyBorder="1" applyAlignment="1">
      <alignment horizontal="center" vertical="center"/>
    </xf>
    <xf numFmtId="0" fontId="40" fillId="2" borderId="4" xfId="8" applyNumberFormat="1" applyFont="1" applyFill="1" applyBorder="1" applyAlignment="1">
      <alignment horizontal="justify" vertical="center"/>
    </xf>
    <xf numFmtId="0" fontId="41" fillId="2" borderId="4" xfId="8" applyFont="1" applyFill="1" applyBorder="1" applyAlignment="1">
      <alignment horizontal="center" vertical="center"/>
    </xf>
    <xf numFmtId="0" fontId="40" fillId="2" borderId="4" xfId="7" applyNumberFormat="1" applyFont="1" applyFill="1" applyBorder="1" applyAlignment="1">
      <alignment horizontal="justify" vertical="center"/>
    </xf>
    <xf numFmtId="0" fontId="40" fillId="2" borderId="4" xfId="8" applyNumberFormat="1" applyFont="1" applyFill="1" applyBorder="1" applyAlignment="1">
      <alignment horizontal="justify" vertical="center" wrapText="1"/>
    </xf>
    <xf numFmtId="0" fontId="18" fillId="2" borderId="4" xfId="7" applyNumberFormat="1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left" vertical="center" wrapText="1"/>
    </xf>
    <xf numFmtId="4" fontId="16" fillId="0" borderId="4" xfId="7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justify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4" fontId="23" fillId="0" borderId="4" xfId="7" applyNumberFormat="1" applyFont="1" applyFill="1" applyBorder="1" applyAlignment="1">
      <alignment horizontal="right" vertical="center"/>
    </xf>
    <xf numFmtId="0" fontId="23" fillId="0" borderId="4" xfId="0" quotePrefix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justify" vertical="center"/>
    </xf>
    <xf numFmtId="3" fontId="44" fillId="0" borderId="4" xfId="14" applyNumberFormat="1" applyFont="1" applyFill="1" applyBorder="1" applyAlignment="1">
      <alignment horizontal="right" vertical="center"/>
    </xf>
    <xf numFmtId="3" fontId="4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1" fillId="2" borderId="0" xfId="7" applyFont="1" applyFill="1" applyAlignment="1">
      <alignment vertical="center"/>
    </xf>
    <xf numFmtId="0" fontId="60" fillId="2" borderId="0" xfId="10" applyFont="1" applyFill="1" applyAlignment="1">
      <alignment horizontal="centerContinuous" vertical="center"/>
    </xf>
    <xf numFmtId="0" fontId="60" fillId="2" borderId="0" xfId="10" applyFont="1" applyFill="1" applyAlignment="1">
      <alignment vertical="center"/>
    </xf>
    <xf numFmtId="0" fontId="60" fillId="2" borderId="0" xfId="0" applyFont="1" applyFill="1" applyBorder="1" applyAlignment="1">
      <alignment horizontal="center" vertical="center"/>
    </xf>
    <xf numFmtId="0" fontId="62" fillId="2" borderId="0" xfId="10" applyFont="1" applyFill="1" applyAlignment="1">
      <alignment vertical="center"/>
    </xf>
    <xf numFmtId="0" fontId="60" fillId="2" borderId="0" xfId="10" applyFont="1" applyFill="1" applyBorder="1" applyAlignment="1">
      <alignment vertical="center"/>
    </xf>
    <xf numFmtId="0" fontId="61" fillId="2" borderId="4" xfId="10" applyFont="1" applyFill="1" applyBorder="1" applyAlignment="1">
      <alignment horizontal="center" vertical="center"/>
    </xf>
    <xf numFmtId="0" fontId="61" fillId="2" borderId="4" xfId="10" applyFont="1" applyFill="1" applyBorder="1" applyAlignment="1">
      <alignment horizontal="center" vertical="center" wrapText="1"/>
    </xf>
    <xf numFmtId="0" fontId="60" fillId="2" borderId="4" xfId="10" applyFont="1" applyFill="1" applyBorder="1" applyAlignment="1">
      <alignment horizontal="center" vertical="center"/>
    </xf>
    <xf numFmtId="0" fontId="23" fillId="2" borderId="4" xfId="9" applyFont="1" applyFill="1" applyBorder="1" applyAlignment="1">
      <alignment horizontal="center" vertical="center"/>
    </xf>
    <xf numFmtId="0" fontId="63" fillId="2" borderId="4" xfId="9" applyFont="1" applyFill="1" applyBorder="1" applyAlignment="1">
      <alignment horizontal="center" vertical="center"/>
    </xf>
    <xf numFmtId="0" fontId="16" fillId="2" borderId="4" xfId="9" applyFont="1" applyFill="1" applyBorder="1" applyAlignment="1">
      <alignment horizontal="center" vertical="center"/>
    </xf>
    <xf numFmtId="3" fontId="16" fillId="2" borderId="4" xfId="9" applyNumberFormat="1" applyFont="1" applyFill="1" applyBorder="1" applyAlignment="1">
      <alignment horizontal="right" vertical="center"/>
    </xf>
    <xf numFmtId="3" fontId="16" fillId="2" borderId="4" xfId="9" applyNumberFormat="1" applyFont="1" applyFill="1" applyBorder="1" applyAlignment="1">
      <alignment vertical="center"/>
    </xf>
    <xf numFmtId="166" fontId="23" fillId="2" borderId="4" xfId="11" applyNumberFormat="1" applyFont="1" applyFill="1" applyBorder="1" applyAlignment="1">
      <alignment horizontal="center" vertical="center"/>
    </xf>
    <xf numFmtId="3" fontId="23" fillId="2" borderId="4" xfId="10" applyNumberFormat="1" applyFont="1" applyFill="1" applyBorder="1" applyAlignment="1">
      <alignment vertical="center"/>
    </xf>
    <xf numFmtId="3" fontId="23" fillId="2" borderId="4" xfId="9" applyNumberFormat="1" applyFont="1" applyFill="1" applyBorder="1" applyAlignment="1">
      <alignment vertical="center"/>
    </xf>
    <xf numFmtId="1" fontId="23" fillId="2" borderId="4" xfId="9" applyNumberFormat="1" applyFont="1" applyFill="1" applyBorder="1" applyAlignment="1">
      <alignment vertical="center"/>
    </xf>
    <xf numFmtId="3" fontId="23" fillId="2" borderId="4" xfId="3" applyNumberFormat="1" applyFont="1" applyFill="1" applyBorder="1" applyAlignment="1">
      <alignment vertical="center"/>
    </xf>
    <xf numFmtId="0" fontId="41" fillId="0" borderId="0" xfId="4" applyFont="1" applyFill="1" applyAlignment="1">
      <alignment horizontal="center" vertical="center"/>
    </xf>
    <xf numFmtId="0" fontId="33" fillId="0" borderId="0" xfId="4" applyFont="1" applyFill="1" applyAlignment="1">
      <alignment vertical="center"/>
    </xf>
    <xf numFmtId="3" fontId="44" fillId="0" borderId="0" xfId="0" applyNumberFormat="1" applyFont="1" applyFill="1" applyAlignment="1">
      <alignment vertical="center"/>
    </xf>
    <xf numFmtId="0" fontId="58" fillId="2" borderId="0" xfId="7" applyFont="1" applyFill="1" applyAlignment="1">
      <alignment vertical="center"/>
    </xf>
    <xf numFmtId="3" fontId="57" fillId="2" borderId="0" xfId="9" applyNumberFormat="1" applyFont="1" applyFill="1" applyAlignment="1">
      <alignment horizontal="center" vertical="center"/>
    </xf>
    <xf numFmtId="3" fontId="30" fillId="0" borderId="0" xfId="8" applyNumberFormat="1" applyFont="1" applyFill="1" applyAlignment="1">
      <alignment vertical="center"/>
    </xf>
    <xf numFmtId="3" fontId="45" fillId="0" borderId="0" xfId="8" applyNumberFormat="1" applyFont="1" applyFill="1" applyAlignment="1">
      <alignment vertical="center"/>
    </xf>
    <xf numFmtId="3" fontId="57" fillId="2" borderId="0" xfId="9" applyNumberFormat="1" applyFont="1" applyFill="1" applyAlignment="1">
      <alignment vertical="center"/>
    </xf>
    <xf numFmtId="0" fontId="23" fillId="0" borderId="4" xfId="0" applyFont="1" applyFill="1" applyBorder="1" applyAlignment="1">
      <alignment vertical="center"/>
    </xf>
    <xf numFmtId="169" fontId="23" fillId="0" borderId="4" xfId="17" applyNumberFormat="1" applyFont="1" applyFill="1" applyBorder="1" applyAlignment="1">
      <alignment vertical="center"/>
    </xf>
    <xf numFmtId="3" fontId="23" fillId="0" borderId="4" xfId="0" applyNumberFormat="1" applyFont="1" applyFill="1" applyBorder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44" fillId="0" borderId="4" xfId="7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3" fontId="46" fillId="0" borderId="4" xfId="0" applyNumberFormat="1" applyFont="1" applyFill="1" applyBorder="1" applyAlignment="1">
      <alignment horizontal="right" vertical="center" wrapText="1"/>
    </xf>
    <xf numFmtId="3" fontId="46" fillId="2" borderId="4" xfId="0" applyNumberFormat="1" applyFont="1" applyFill="1" applyBorder="1" applyAlignment="1">
      <alignment horizontal="right" vertical="center" wrapText="1"/>
    </xf>
    <xf numFmtId="0" fontId="32" fillId="2" borderId="0" xfId="8" applyNumberFormat="1" applyFont="1" applyFill="1" applyBorder="1" applyAlignment="1">
      <alignment horizontal="center" vertical="center"/>
    </xf>
    <xf numFmtId="0" fontId="40" fillId="2" borderId="0" xfId="8" applyNumberFormat="1" applyFont="1" applyFill="1" applyBorder="1" applyAlignment="1">
      <alignment horizontal="right" vertical="center"/>
    </xf>
    <xf numFmtId="3" fontId="40" fillId="2" borderId="0" xfId="8" applyNumberFormat="1" applyFont="1" applyFill="1" applyAlignment="1">
      <alignment vertical="center"/>
    </xf>
    <xf numFmtId="3" fontId="32" fillId="2" borderId="0" xfId="8" applyNumberFormat="1" applyFont="1" applyFill="1" applyAlignment="1">
      <alignment vertical="center"/>
    </xf>
    <xf numFmtId="0" fontId="32" fillId="2" borderId="0" xfId="8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2" borderId="4" xfId="0" applyFont="1" applyFill="1" applyBorder="1" applyAlignment="1">
      <alignment horizontal="center" vertical="center"/>
    </xf>
    <xf numFmtId="3" fontId="25" fillId="2" borderId="4" xfId="0" applyNumberFormat="1" applyFont="1" applyFill="1" applyBorder="1" applyAlignment="1">
      <alignment vertical="center" wrapText="1"/>
    </xf>
    <xf numFmtId="3" fontId="28" fillId="2" borderId="4" xfId="14" applyNumberFormat="1" applyFont="1" applyFill="1" applyBorder="1" applyAlignment="1">
      <alignment horizontal="right" vertical="center"/>
    </xf>
    <xf numFmtId="3" fontId="14" fillId="2" borderId="0" xfId="9" applyNumberFormat="1" applyFont="1" applyFill="1" applyAlignment="1">
      <alignment vertical="center"/>
    </xf>
    <xf numFmtId="0" fontId="6" fillId="2" borderId="0" xfId="10" applyFont="1" applyFill="1" applyAlignment="1">
      <alignment vertical="center"/>
    </xf>
    <xf numFmtId="0" fontId="6" fillId="2" borderId="0" xfId="6" applyFont="1" applyFill="1" applyAlignment="1">
      <alignment horizontal="centerContinuous" vertical="center"/>
    </xf>
    <xf numFmtId="0" fontId="61" fillId="2" borderId="4" xfId="10" applyFont="1" applyFill="1" applyBorder="1" applyAlignment="1">
      <alignment horizontal="center" vertical="center" wrapText="1"/>
    </xf>
    <xf numFmtId="1" fontId="14" fillId="2" borderId="0" xfId="9" applyNumberFormat="1" applyFont="1" applyFill="1" applyAlignment="1">
      <alignment vertical="center"/>
    </xf>
    <xf numFmtId="168" fontId="16" fillId="2" borderId="4" xfId="15" applyNumberFormat="1" applyFont="1" applyFill="1" applyBorder="1" applyAlignment="1">
      <alignment horizontal="right" vertical="center"/>
    </xf>
    <xf numFmtId="168" fontId="23" fillId="2" borderId="4" xfId="15" applyNumberFormat="1" applyFont="1" applyFill="1" applyBorder="1" applyAlignment="1">
      <alignment horizontal="right" vertical="center"/>
    </xf>
    <xf numFmtId="0" fontId="19" fillId="2" borderId="0" xfId="12" applyFont="1" applyFill="1"/>
    <xf numFmtId="0" fontId="28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vertical="center" wrapText="1"/>
    </xf>
    <xf numFmtId="4" fontId="28" fillId="2" borderId="4" xfId="14" applyNumberFormat="1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0" xfId="0" applyFont="1" applyFill="1" applyAlignment="1">
      <alignment horizontal="center" vertical="center"/>
    </xf>
    <xf numFmtId="3" fontId="2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42" fillId="2" borderId="0" xfId="0" applyFont="1" applyFill="1" applyAlignment="1">
      <alignment vertical="center"/>
    </xf>
    <xf numFmtId="3" fontId="16" fillId="0" borderId="4" xfId="0" applyNumberFormat="1" applyFont="1" applyBorder="1" applyAlignment="1">
      <alignment horizontal="right" vertical="center" wrapText="1"/>
    </xf>
    <xf numFmtId="3" fontId="43" fillId="2" borderId="4" xfId="0" applyNumberFormat="1" applyFont="1" applyFill="1" applyBorder="1" applyAlignment="1">
      <alignment horizontal="right" vertical="center" wrapText="1"/>
    </xf>
    <xf numFmtId="167" fontId="46" fillId="2" borderId="4" xfId="0" applyNumberFormat="1" applyFont="1" applyFill="1" applyBorder="1" applyAlignment="1">
      <alignment horizontal="right" vertical="center"/>
    </xf>
    <xf numFmtId="3" fontId="37" fillId="0" borderId="0" xfId="7" applyNumberFormat="1" applyFont="1" applyFill="1" applyAlignment="1">
      <alignment vertical="center"/>
    </xf>
    <xf numFmtId="0" fontId="16" fillId="2" borderId="4" xfId="9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3" fontId="16" fillId="2" borderId="4" xfId="11" applyNumberFormat="1" applyFont="1" applyFill="1" applyBorder="1" applyAlignment="1">
      <alignment horizontal="center" vertical="center"/>
    </xf>
    <xf numFmtId="4" fontId="25" fillId="2" borderId="4" xfId="14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vertical="center"/>
    </xf>
    <xf numFmtId="3" fontId="46" fillId="0" borderId="0" xfId="0" applyNumberFormat="1" applyFont="1" applyFill="1" applyAlignment="1">
      <alignment vertical="center"/>
    </xf>
    <xf numFmtId="3" fontId="33" fillId="0" borderId="0" xfId="8" applyNumberFormat="1" applyFont="1" applyFill="1" applyAlignment="1">
      <alignment vertical="center"/>
    </xf>
    <xf numFmtId="0" fontId="42" fillId="2" borderId="0" xfId="4" applyFont="1" applyFill="1" applyAlignment="1">
      <alignment horizontal="right" vertical="center"/>
    </xf>
    <xf numFmtId="0" fontId="25" fillId="0" borderId="0" xfId="4" applyFont="1" applyFill="1" applyAlignment="1">
      <alignment vertical="center"/>
    </xf>
    <xf numFmtId="0" fontId="28" fillId="0" borderId="0" xfId="4" applyFont="1" applyFill="1" applyBorder="1" applyAlignment="1">
      <alignment horizontal="center" vertical="center"/>
    </xf>
    <xf numFmtId="0" fontId="28" fillId="2" borderId="0" xfId="4" applyFont="1" applyFill="1" applyBorder="1" applyAlignment="1">
      <alignment horizontal="right" vertical="center"/>
    </xf>
    <xf numFmtId="0" fontId="32" fillId="0" borderId="0" xfId="4" applyFont="1" applyFill="1" applyAlignment="1">
      <alignment vertical="center"/>
    </xf>
    <xf numFmtId="0" fontId="28" fillId="0" borderId="0" xfId="4" applyFont="1" applyFill="1" applyAlignment="1">
      <alignment horizontal="center" vertical="center" wrapText="1"/>
    </xf>
    <xf numFmtId="0" fontId="25" fillId="0" borderId="6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3" fontId="30" fillId="0" borderId="0" xfId="4" applyNumberFormat="1" applyFont="1" applyFill="1" applyAlignment="1">
      <alignment vertical="center"/>
    </xf>
    <xf numFmtId="0" fontId="30" fillId="0" borderId="0" xfId="4" applyFont="1" applyFill="1" applyAlignment="1">
      <alignment vertical="center"/>
    </xf>
    <xf numFmtId="0" fontId="25" fillId="0" borderId="4" xfId="4" applyFont="1" applyFill="1" applyBorder="1" applyAlignment="1" applyProtection="1">
      <alignment horizontal="center" vertical="center"/>
      <protection locked="0"/>
    </xf>
    <xf numFmtId="3" fontId="25" fillId="2" borderId="4" xfId="4" applyNumberFormat="1" applyFont="1" applyFill="1" applyBorder="1" applyAlignment="1" applyProtection="1">
      <alignment horizontal="right" vertical="center"/>
      <protection locked="0"/>
    </xf>
    <xf numFmtId="3" fontId="25" fillId="2" borderId="4" xfId="4" applyNumberFormat="1" applyFont="1" applyFill="1" applyBorder="1" applyAlignment="1" applyProtection="1">
      <alignment horizontal="right" vertical="center" wrapText="1"/>
      <protection locked="0"/>
    </xf>
    <xf numFmtId="3" fontId="30" fillId="0" borderId="0" xfId="4" applyNumberFormat="1" applyFont="1" applyFill="1" applyAlignment="1">
      <alignment horizontal="center" vertical="center"/>
    </xf>
    <xf numFmtId="0" fontId="30" fillId="0" borderId="0" xfId="4" applyFont="1" applyFill="1" applyAlignment="1">
      <alignment horizontal="center" vertical="center"/>
    </xf>
    <xf numFmtId="0" fontId="25" fillId="0" borderId="4" xfId="4" applyFont="1" applyFill="1" applyBorder="1" applyAlignment="1" applyProtection="1">
      <alignment horizontal="justify" vertical="center" wrapText="1"/>
      <protection locked="0"/>
    </xf>
    <xf numFmtId="3" fontId="28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42" fillId="0" borderId="4" xfId="4" applyFont="1" applyFill="1" applyBorder="1" applyAlignment="1" applyProtection="1">
      <alignment horizontal="justify" vertical="center" wrapText="1"/>
      <protection locked="0"/>
    </xf>
    <xf numFmtId="0" fontId="28" fillId="0" borderId="4" xfId="4" applyFont="1" applyFill="1" applyBorder="1" applyAlignment="1" applyProtection="1">
      <alignment horizontal="justify" vertical="center" wrapText="1"/>
      <protection locked="0"/>
    </xf>
    <xf numFmtId="0" fontId="28" fillId="0" borderId="4" xfId="4" applyFont="1" applyFill="1" applyBorder="1" applyAlignment="1">
      <alignment horizontal="center" vertical="center"/>
    </xf>
    <xf numFmtId="0" fontId="28" fillId="0" borderId="4" xfId="4" applyFont="1" applyFill="1" applyBorder="1" applyAlignment="1">
      <alignment horizontal="justify" vertical="center"/>
    </xf>
    <xf numFmtId="0" fontId="28" fillId="0" borderId="4" xfId="4" applyFont="1" applyFill="1" applyBorder="1" applyAlignment="1" applyProtection="1">
      <alignment horizontal="center" vertical="center"/>
      <protection locked="0"/>
    </xf>
    <xf numFmtId="0" fontId="25" fillId="0" borderId="4" xfId="4" applyFont="1" applyFill="1" applyBorder="1" applyAlignment="1">
      <alignment horizontal="center" vertical="center"/>
    </xf>
    <xf numFmtId="3" fontId="29" fillId="0" borderId="0" xfId="4" applyNumberFormat="1" applyFont="1" applyFill="1" applyAlignment="1">
      <alignment horizontal="center" vertical="center"/>
    </xf>
    <xf numFmtId="0" fontId="28" fillId="2" borderId="4" xfId="4" applyFont="1" applyFill="1" applyBorder="1" applyAlignment="1" applyProtection="1">
      <alignment horizontal="center" vertical="center"/>
      <protection locked="0"/>
    </xf>
    <xf numFmtId="0" fontId="28" fillId="2" borderId="4" xfId="4" applyFont="1" applyFill="1" applyBorder="1" applyAlignment="1" applyProtection="1">
      <alignment horizontal="justify" vertical="center" wrapText="1"/>
      <protection locked="0"/>
    </xf>
    <xf numFmtId="0" fontId="30" fillId="2" borderId="0" xfId="4" applyFont="1" applyFill="1" applyAlignment="1">
      <alignment horizontal="center" vertical="center"/>
    </xf>
    <xf numFmtId="0" fontId="32" fillId="2" borderId="0" xfId="4" applyFont="1" applyFill="1" applyAlignment="1">
      <alignment vertical="center"/>
    </xf>
    <xf numFmtId="0" fontId="25" fillId="0" borderId="4" xfId="4" applyFont="1" applyFill="1" applyBorder="1" applyAlignment="1">
      <alignment horizontal="justify" vertical="center"/>
    </xf>
    <xf numFmtId="0" fontId="25" fillId="0" borderId="4" xfId="4" applyFont="1" applyFill="1" applyBorder="1" applyAlignment="1">
      <alignment horizontal="center" vertical="center" wrapText="1"/>
    </xf>
    <xf numFmtId="0" fontId="25" fillId="0" borderId="4" xfId="4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Fill="1" applyAlignment="1">
      <alignment horizontal="right" vertical="center"/>
    </xf>
    <xf numFmtId="0" fontId="28" fillId="2" borderId="0" xfId="4" applyFont="1" applyFill="1" applyAlignment="1">
      <alignment vertical="center"/>
    </xf>
    <xf numFmtId="0" fontId="28" fillId="2" borderId="0" xfId="4" applyFont="1" applyFill="1" applyAlignment="1">
      <alignment horizontal="right" vertical="center"/>
    </xf>
    <xf numFmtId="3" fontId="22" fillId="2" borderId="0" xfId="0" applyNumberFormat="1" applyFont="1" applyFill="1" applyAlignment="1">
      <alignment vertical="center" wrapText="1"/>
    </xf>
    <xf numFmtId="0" fontId="41" fillId="0" borderId="4" xfId="7" quotePrefix="1" applyFont="1" applyFill="1" applyBorder="1" applyAlignment="1">
      <alignment horizontal="center" vertical="center"/>
    </xf>
    <xf numFmtId="3" fontId="61" fillId="2" borderId="8" xfId="10" applyNumberFormat="1" applyFont="1" applyFill="1" applyBorder="1" applyAlignment="1">
      <alignment horizontal="center" vertical="center"/>
    </xf>
    <xf numFmtId="3" fontId="61" fillId="2" borderId="8" xfId="10" applyNumberFormat="1" applyFont="1" applyFill="1" applyBorder="1" applyAlignment="1">
      <alignment vertical="center"/>
    </xf>
    <xf numFmtId="3" fontId="60" fillId="2" borderId="4" xfId="10" applyNumberFormat="1" applyFont="1" applyFill="1" applyBorder="1" applyAlignment="1">
      <alignment horizontal="center" vertical="center"/>
    </xf>
    <xf numFmtId="3" fontId="60" fillId="2" borderId="4" xfId="10" applyNumberFormat="1" applyFont="1" applyFill="1" applyBorder="1" applyAlignment="1">
      <alignment vertical="center"/>
    </xf>
    <xf numFmtId="0" fontId="64" fillId="2" borderId="0" xfId="0" applyFont="1" applyFill="1" applyAlignment="1">
      <alignment vertical="center" wrapText="1"/>
    </xf>
    <xf numFmtId="0" fontId="65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4" fillId="2" borderId="7" xfId="0" applyFont="1" applyFill="1" applyBorder="1" applyAlignment="1">
      <alignment vertical="center" wrapText="1"/>
    </xf>
    <xf numFmtId="0" fontId="67" fillId="2" borderId="4" xfId="0" applyFont="1" applyFill="1" applyBorder="1" applyAlignment="1">
      <alignment horizontal="center" vertical="center" wrapText="1"/>
    </xf>
    <xf numFmtId="3" fontId="68" fillId="2" borderId="4" xfId="14" applyNumberFormat="1" applyFont="1" applyFill="1" applyBorder="1" applyAlignment="1">
      <alignment horizontal="center" vertical="center" wrapText="1"/>
    </xf>
    <xf numFmtId="3" fontId="67" fillId="2" borderId="4" xfId="14" applyNumberFormat="1" applyFont="1" applyFill="1" applyBorder="1" applyAlignment="1">
      <alignment horizontal="center" vertical="center" wrapText="1"/>
    </xf>
    <xf numFmtId="0" fontId="65" fillId="2" borderId="4" xfId="0" applyFont="1" applyFill="1" applyBorder="1" applyAlignment="1">
      <alignment horizontal="center" vertical="center" wrapText="1"/>
    </xf>
    <xf numFmtId="3" fontId="65" fillId="2" borderId="4" xfId="14" applyNumberFormat="1" applyFont="1" applyFill="1" applyBorder="1" applyAlignment="1">
      <alignment horizontal="right" vertical="center" wrapText="1"/>
    </xf>
    <xf numFmtId="0" fontId="64" fillId="2" borderId="4" xfId="14" applyFont="1" applyFill="1" applyBorder="1" applyAlignment="1">
      <alignment horizontal="center" vertical="center" wrapText="1"/>
    </xf>
    <xf numFmtId="0" fontId="64" fillId="2" borderId="4" xfId="14" applyFont="1" applyFill="1" applyBorder="1" applyAlignment="1">
      <alignment vertical="center" wrapText="1"/>
    </xf>
    <xf numFmtId="3" fontId="64" fillId="2" borderId="4" xfId="14" applyNumberFormat="1" applyFont="1" applyFill="1" applyBorder="1" applyAlignment="1">
      <alignment horizontal="right" vertical="center" wrapText="1"/>
    </xf>
    <xf numFmtId="49" fontId="64" fillId="2" borderId="4" xfId="14" applyNumberFormat="1" applyFont="1" applyFill="1" applyBorder="1" applyAlignment="1">
      <alignment vertical="center"/>
    </xf>
    <xf numFmtId="0" fontId="64" fillId="2" borderId="4" xfId="14" applyFont="1" applyFill="1" applyBorder="1" applyAlignment="1">
      <alignment horizontal="center" vertical="center"/>
    </xf>
    <xf numFmtId="0" fontId="64" fillId="2" borderId="4" xfId="14" applyFont="1" applyFill="1" applyBorder="1" applyAlignment="1">
      <alignment horizontal="left" vertical="center"/>
    </xf>
    <xf numFmtId="0" fontId="64" fillId="2" borderId="4" xfId="0" applyFont="1" applyFill="1" applyBorder="1" applyAlignment="1">
      <alignment horizontal="left" vertical="center" wrapText="1"/>
    </xf>
    <xf numFmtId="167" fontId="64" fillId="2" borderId="4" xfId="0" applyNumberFormat="1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vertical="center" wrapText="1"/>
    </xf>
    <xf numFmtId="3" fontId="64" fillId="2" borderId="4" xfId="0" applyNumberFormat="1" applyFont="1" applyFill="1" applyBorder="1" applyAlignment="1">
      <alignment vertical="center" wrapText="1"/>
    </xf>
    <xf numFmtId="3" fontId="18" fillId="0" borderId="4" xfId="8" applyNumberFormat="1" applyFont="1" applyFill="1" applyBorder="1" applyAlignment="1">
      <alignment horizontal="right" vertical="center"/>
    </xf>
    <xf numFmtId="4" fontId="18" fillId="0" borderId="4" xfId="7" applyNumberFormat="1" applyFont="1" applyFill="1" applyBorder="1" applyAlignment="1">
      <alignment horizontal="right" vertical="center"/>
    </xf>
    <xf numFmtId="3" fontId="40" fillId="0" borderId="4" xfId="8" applyNumberFormat="1" applyFont="1" applyFill="1" applyBorder="1" applyAlignment="1">
      <alignment vertical="center"/>
    </xf>
    <xf numFmtId="3" fontId="40" fillId="0" borderId="4" xfId="8" applyNumberFormat="1" applyFont="1" applyFill="1" applyBorder="1" applyAlignment="1">
      <alignment horizontal="right" vertical="center"/>
    </xf>
    <xf numFmtId="4" fontId="40" fillId="0" borderId="4" xfId="7" applyNumberFormat="1" applyFont="1" applyFill="1" applyBorder="1" applyAlignment="1">
      <alignment horizontal="right" vertical="center"/>
    </xf>
    <xf numFmtId="3" fontId="18" fillId="0" borderId="4" xfId="8" applyNumberFormat="1" applyFont="1" applyFill="1" applyBorder="1" applyAlignment="1">
      <alignment vertical="center"/>
    </xf>
    <xf numFmtId="4" fontId="40" fillId="0" borderId="4" xfId="8" applyNumberFormat="1" applyFont="1" applyFill="1" applyBorder="1" applyAlignment="1">
      <alignment horizontal="right" vertical="center"/>
    </xf>
    <xf numFmtId="164" fontId="40" fillId="0" borderId="4" xfId="17" applyFont="1" applyFill="1" applyBorder="1" applyAlignment="1">
      <alignment horizontal="right" vertical="center"/>
    </xf>
    <xf numFmtId="4" fontId="18" fillId="0" borderId="4" xfId="8" applyNumberFormat="1" applyFont="1" applyFill="1" applyBorder="1" applyAlignment="1">
      <alignment horizontal="right" vertical="center"/>
    </xf>
    <xf numFmtId="0" fontId="64" fillId="2" borderId="4" xfId="14" quotePrefix="1" applyFont="1" applyFill="1" applyBorder="1" applyAlignment="1">
      <alignment horizontal="center" vertical="center"/>
    </xf>
    <xf numFmtId="0" fontId="25" fillId="0" borderId="4" xfId="4" applyFont="1" applyFill="1" applyBorder="1" applyAlignment="1" applyProtection="1">
      <alignment horizontal="justify" vertical="center" wrapText="1"/>
      <protection locked="0"/>
    </xf>
    <xf numFmtId="0" fontId="28" fillId="0" borderId="4" xfId="4" applyFont="1" applyFill="1" applyBorder="1" applyAlignment="1">
      <alignment horizontal="justify" vertical="center"/>
    </xf>
    <xf numFmtId="0" fontId="25" fillId="0" borderId="4" xfId="4" applyFont="1" applyFill="1" applyBorder="1" applyAlignment="1">
      <alignment horizontal="justify" vertical="center"/>
    </xf>
    <xf numFmtId="0" fontId="25" fillId="0" borderId="0" xfId="4" applyFont="1" applyFill="1" applyAlignment="1">
      <alignment horizontal="center" vertical="center" wrapText="1"/>
    </xf>
    <xf numFmtId="0" fontId="25" fillId="0" borderId="0" xfId="4" applyFont="1" applyFill="1" applyAlignment="1">
      <alignment horizontal="center" vertical="center"/>
    </xf>
    <xf numFmtId="0" fontId="42" fillId="0" borderId="0" xfId="4" applyFont="1" applyFill="1" applyAlignment="1">
      <alignment horizontal="center" vertical="center" wrapText="1"/>
    </xf>
    <xf numFmtId="0" fontId="42" fillId="0" borderId="0" xfId="4" applyFont="1" applyFill="1" applyAlignment="1">
      <alignment horizontal="center" vertical="center"/>
    </xf>
    <xf numFmtId="0" fontId="25" fillId="0" borderId="9" xfId="4" applyFont="1" applyFill="1" applyBorder="1" applyAlignment="1" applyProtection="1">
      <alignment horizontal="center" vertical="center" wrapText="1"/>
      <protection locked="0"/>
    </xf>
    <xf numFmtId="0" fontId="25" fillId="0" borderId="2" xfId="4" applyFont="1" applyFill="1" applyBorder="1" applyAlignment="1" applyProtection="1">
      <alignment horizontal="center" vertical="center" wrapText="1"/>
      <protection locked="0"/>
    </xf>
    <xf numFmtId="0" fontId="25" fillId="0" borderId="3" xfId="4" applyFont="1" applyFill="1" applyBorder="1" applyAlignment="1" applyProtection="1">
      <alignment horizontal="center" vertical="center" wrapText="1"/>
      <protection locked="0"/>
    </xf>
    <xf numFmtId="0" fontId="66" fillId="2" borderId="4" xfId="0" applyFont="1" applyFill="1" applyBorder="1" applyAlignment="1">
      <alignment horizontal="center" vertical="center" wrapText="1"/>
    </xf>
    <xf numFmtId="0" fontId="65" fillId="2" borderId="4" xfId="0" applyFont="1" applyFill="1" applyBorder="1" applyAlignment="1">
      <alignment horizontal="center" vertical="center" wrapText="1"/>
    </xf>
    <xf numFmtId="0" fontId="66" fillId="2" borderId="6" xfId="0" applyFont="1" applyFill="1" applyBorder="1" applyAlignment="1">
      <alignment horizontal="center" vertical="center" wrapText="1"/>
    </xf>
    <xf numFmtId="0" fontId="66" fillId="2" borderId="8" xfId="0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1" fillId="2" borderId="7" xfId="0" applyFont="1" applyFill="1" applyBorder="1" applyAlignment="1">
      <alignment horizontal="right" vertical="center" wrapText="1"/>
    </xf>
    <xf numFmtId="0" fontId="65" fillId="2" borderId="9" xfId="0" applyFont="1" applyFill="1" applyBorder="1" applyAlignment="1">
      <alignment horizontal="center" vertical="center" wrapText="1"/>
    </xf>
    <xf numFmtId="0" fontId="65" fillId="2" borderId="3" xfId="0" applyFont="1" applyFill="1" applyBorder="1" applyAlignment="1">
      <alignment horizontal="center" vertical="center" wrapText="1"/>
    </xf>
    <xf numFmtId="0" fontId="65" fillId="2" borderId="2" xfId="0" applyFont="1" applyFill="1" applyBorder="1" applyAlignment="1">
      <alignment horizontal="center" vertical="center" wrapText="1"/>
    </xf>
    <xf numFmtId="0" fontId="30" fillId="0" borderId="0" xfId="7" applyNumberFormat="1" applyFont="1" applyFill="1" applyAlignment="1">
      <alignment horizontal="left" vertical="center"/>
    </xf>
    <xf numFmtId="0" fontId="30" fillId="0" borderId="0" xfId="7" applyFont="1" applyFill="1" applyAlignment="1">
      <alignment horizontal="left" vertical="center"/>
    </xf>
    <xf numFmtId="0" fontId="18" fillId="0" borderId="4" xfId="7" applyFont="1" applyFill="1" applyBorder="1" applyAlignment="1">
      <alignment horizontal="center" vertical="center"/>
    </xf>
    <xf numFmtId="0" fontId="18" fillId="0" borderId="4" xfId="7" applyFont="1" applyFill="1" applyBorder="1" applyAlignment="1">
      <alignment horizontal="center" vertical="center" wrapText="1"/>
    </xf>
    <xf numFmtId="0" fontId="32" fillId="0" borderId="0" xfId="7" applyNumberFormat="1" applyFont="1" applyFill="1" applyBorder="1" applyAlignment="1">
      <alignment horizontal="right" vertical="center"/>
    </xf>
    <xf numFmtId="0" fontId="18" fillId="0" borderId="9" xfId="7" applyFont="1" applyFill="1" applyBorder="1" applyAlignment="1">
      <alignment horizontal="center" vertical="center"/>
    </xf>
    <xf numFmtId="0" fontId="18" fillId="0" borderId="2" xfId="7" applyFont="1" applyFill="1" applyBorder="1" applyAlignment="1">
      <alignment horizontal="center" vertical="center"/>
    </xf>
    <xf numFmtId="0" fontId="43" fillId="0" borderId="7" xfId="7" applyFont="1" applyFill="1" applyBorder="1" applyAlignment="1">
      <alignment horizontal="right" vertical="center"/>
    </xf>
    <xf numFmtId="0" fontId="18" fillId="0" borderId="4" xfId="7" applyNumberFormat="1" applyFont="1" applyFill="1" applyBorder="1" applyAlignment="1">
      <alignment horizontal="center" vertical="center" wrapText="1"/>
    </xf>
    <xf numFmtId="0" fontId="18" fillId="2" borderId="4" xfId="7" applyFont="1" applyFill="1" applyBorder="1" applyAlignment="1">
      <alignment horizontal="center" vertical="center" wrapText="1"/>
    </xf>
    <xf numFmtId="0" fontId="40" fillId="0" borderId="0" xfId="7" applyNumberFormat="1" applyFont="1" applyFill="1" applyBorder="1" applyAlignment="1">
      <alignment horizontal="right" vertical="center"/>
    </xf>
    <xf numFmtId="0" fontId="18" fillId="0" borderId="0" xfId="7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32" fillId="0" borderId="0" xfId="8" applyNumberFormat="1" applyFont="1" applyFill="1" applyBorder="1" applyAlignment="1">
      <alignment horizontal="center" vertical="center"/>
    </xf>
    <xf numFmtId="0" fontId="18" fillId="0" borderId="0" xfId="8" applyNumberFormat="1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center"/>
    </xf>
    <xf numFmtId="0" fontId="41" fillId="0" borderId="0" xfId="8" applyNumberFormat="1" applyFont="1" applyFill="1" applyBorder="1" applyAlignment="1">
      <alignment horizontal="right" vertical="center"/>
    </xf>
    <xf numFmtId="0" fontId="41" fillId="0" borderId="0" xfId="8" applyFont="1" applyFill="1" applyBorder="1" applyAlignment="1">
      <alignment horizontal="right" vertical="center"/>
    </xf>
    <xf numFmtId="0" fontId="18" fillId="2" borderId="4" xfId="7" applyFont="1" applyFill="1" applyBorder="1" applyAlignment="1">
      <alignment horizontal="center" vertical="center"/>
    </xf>
    <xf numFmtId="0" fontId="18" fillId="2" borderId="4" xfId="7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0" fillId="0" borderId="0" xfId="8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44" fillId="0" borderId="9" xfId="7" applyFont="1" applyFill="1" applyBorder="1" applyAlignment="1">
      <alignment horizontal="center" vertical="center" wrapText="1"/>
    </xf>
    <xf numFmtId="0" fontId="44" fillId="0" borderId="2" xfId="7" applyFont="1" applyFill="1" applyBorder="1" applyAlignment="1">
      <alignment horizontal="center" vertical="center" wrapText="1"/>
    </xf>
    <xf numFmtId="0" fontId="16" fillId="0" borderId="9" xfId="7" applyFont="1" applyFill="1" applyBorder="1" applyAlignment="1">
      <alignment horizontal="center" vertical="center" wrapText="1"/>
    </xf>
    <xf numFmtId="0" fontId="16" fillId="0" borderId="2" xfId="7" applyFont="1" applyFill="1" applyBorder="1" applyAlignment="1">
      <alignment horizontal="center" vertical="center" wrapText="1"/>
    </xf>
    <xf numFmtId="0" fontId="16" fillId="0" borderId="6" xfId="7" applyNumberFormat="1" applyFont="1" applyFill="1" applyBorder="1" applyAlignment="1">
      <alignment horizontal="center" vertical="center" wrapText="1"/>
    </xf>
    <xf numFmtId="0" fontId="16" fillId="0" borderId="10" xfId="7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horizontal="center" vertical="center" wrapText="1"/>
    </xf>
    <xf numFmtId="0" fontId="24" fillId="0" borderId="0" xfId="8" applyNumberFormat="1" applyFont="1" applyFill="1" applyBorder="1" applyAlignment="1">
      <alignment horizontal="right" vertical="center"/>
    </xf>
    <xf numFmtId="0" fontId="42" fillId="0" borderId="0" xfId="0" applyFont="1" applyFill="1" applyAlignment="1">
      <alignment horizontal="center" vertical="center" wrapText="1"/>
    </xf>
    <xf numFmtId="0" fontId="25" fillId="0" borderId="0" xfId="0" applyNumberFormat="1" applyFont="1" applyFill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4" fillId="0" borderId="7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43" fillId="0" borderId="7" xfId="0" applyFont="1" applyFill="1" applyBorder="1" applyAlignment="1">
      <alignment horizontal="right" vertical="center"/>
    </xf>
    <xf numFmtId="0" fontId="61" fillId="2" borderId="4" xfId="10" applyFont="1" applyFill="1" applyBorder="1" applyAlignment="1">
      <alignment horizontal="center" vertical="center"/>
    </xf>
    <xf numFmtId="0" fontId="61" fillId="2" borderId="4" xfId="10" applyNumberFormat="1" applyFont="1" applyFill="1" applyBorder="1" applyAlignment="1">
      <alignment horizontal="center" vertical="center"/>
    </xf>
    <xf numFmtId="0" fontId="18" fillId="2" borderId="0" xfId="10" applyNumberFormat="1" applyFont="1" applyFill="1" applyAlignment="1">
      <alignment horizontal="center" vertical="center" wrapText="1"/>
    </xf>
    <xf numFmtId="0" fontId="18" fillId="2" borderId="0" xfId="10" applyFont="1" applyFill="1" applyAlignment="1">
      <alignment horizontal="center" vertical="center"/>
    </xf>
    <xf numFmtId="0" fontId="61" fillId="2" borderId="4" xfId="10" applyNumberFormat="1" applyFont="1" applyFill="1" applyBorder="1" applyAlignment="1">
      <alignment horizontal="center" vertical="center" wrapText="1"/>
    </xf>
    <xf numFmtId="0" fontId="61" fillId="2" borderId="4" xfId="10" applyFont="1" applyFill="1" applyBorder="1" applyAlignment="1">
      <alignment horizontal="center" vertical="center" wrapText="1"/>
    </xf>
    <xf numFmtId="0" fontId="41" fillId="2" borderId="7" xfId="10" applyFont="1" applyFill="1" applyBorder="1" applyAlignment="1">
      <alignment horizontal="right" vertical="center"/>
    </xf>
    <xf numFmtId="0" fontId="16" fillId="2" borderId="6" xfId="9" applyFont="1" applyFill="1" applyBorder="1" applyAlignment="1">
      <alignment horizontal="center" vertical="center" wrapText="1"/>
    </xf>
    <xf numFmtId="0" fontId="16" fillId="2" borderId="10" xfId="9" applyFont="1" applyFill="1" applyBorder="1" applyAlignment="1">
      <alignment horizontal="center" vertical="center" wrapText="1"/>
    </xf>
    <xf numFmtId="0" fontId="16" fillId="2" borderId="4" xfId="9" applyFont="1" applyFill="1" applyBorder="1" applyAlignment="1">
      <alignment horizontal="center" vertical="center" wrapText="1"/>
    </xf>
    <xf numFmtId="0" fontId="16" fillId="2" borderId="4" xfId="9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25" fillId="2" borderId="0" xfId="9" applyNumberFormat="1" applyFont="1" applyFill="1" applyAlignment="1">
      <alignment horizontal="center" vertical="justify" wrapText="1"/>
    </xf>
    <xf numFmtId="0" fontId="25" fillId="2" borderId="0" xfId="9" applyFont="1" applyFill="1" applyAlignment="1">
      <alignment horizontal="center" vertical="justify"/>
    </xf>
    <xf numFmtId="0" fontId="42" fillId="2" borderId="0" xfId="9" applyFont="1" applyFill="1" applyAlignment="1">
      <alignment horizontal="right" vertical="center"/>
    </xf>
    <xf numFmtId="0" fontId="16" fillId="2" borderId="4" xfId="9" applyNumberFormat="1" applyFont="1" applyFill="1" applyBorder="1" applyAlignment="1">
      <alignment horizontal="center" vertical="center"/>
    </xf>
    <xf numFmtId="0" fontId="25" fillId="0" borderId="0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center"/>
    </xf>
    <xf numFmtId="0" fontId="25" fillId="0" borderId="7" xfId="12" applyFont="1" applyFill="1" applyBorder="1" applyAlignment="1">
      <alignment horizontal="center"/>
    </xf>
    <xf numFmtId="0" fontId="25" fillId="0" borderId="0" xfId="12" applyFont="1" applyFill="1" applyBorder="1" applyAlignment="1">
      <alignment horizontal="center"/>
    </xf>
    <xf numFmtId="0" fontId="16" fillId="0" borderId="6" xfId="12" applyFont="1" applyFill="1" applyBorder="1" applyAlignment="1">
      <alignment horizontal="center" vertical="center" wrapText="1"/>
    </xf>
    <xf numFmtId="0" fontId="16" fillId="0" borderId="8" xfId="12" applyFont="1" applyFill="1" applyBorder="1" applyAlignment="1">
      <alignment horizontal="center" vertical="center" wrapText="1"/>
    </xf>
    <xf numFmtId="0" fontId="16" fillId="0" borderId="10" xfId="12" applyFont="1" applyFill="1" applyBorder="1" applyAlignment="1">
      <alignment horizontal="center" vertical="center" wrapText="1"/>
    </xf>
    <xf numFmtId="0" fontId="16" fillId="0" borderId="4" xfId="12" applyFont="1" applyFill="1" applyBorder="1" applyAlignment="1">
      <alignment horizontal="center" vertical="center" wrapText="1"/>
    </xf>
    <xf numFmtId="0" fontId="16" fillId="0" borderId="4" xfId="12" applyFont="1" applyFill="1" applyBorder="1" applyAlignment="1">
      <alignment horizontal="center" vertical="center"/>
    </xf>
    <xf numFmtId="0" fontId="16" fillId="2" borderId="11" xfId="12" applyFont="1" applyFill="1" applyBorder="1" applyAlignment="1">
      <alignment horizontal="center" vertical="center" wrapText="1"/>
    </xf>
    <xf numFmtId="0" fontId="16" fillId="2" borderId="12" xfId="12" applyFont="1" applyFill="1" applyBorder="1" applyAlignment="1">
      <alignment horizontal="center" vertical="center" wrapText="1"/>
    </xf>
    <xf numFmtId="0" fontId="16" fillId="2" borderId="13" xfId="12" applyFont="1" applyFill="1" applyBorder="1" applyAlignment="1">
      <alignment horizontal="center" vertical="center" wrapText="1"/>
    </xf>
    <xf numFmtId="0" fontId="16" fillId="2" borderId="4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right" vertical="center"/>
    </xf>
    <xf numFmtId="0" fontId="49" fillId="0" borderId="6" xfId="10" applyFont="1" applyFill="1" applyBorder="1" applyAlignment="1">
      <alignment horizontal="center" vertical="center"/>
    </xf>
    <xf numFmtId="0" fontId="49" fillId="0" borderId="8" xfId="10" applyFont="1" applyFill="1" applyBorder="1" applyAlignment="1">
      <alignment horizontal="center" vertical="center"/>
    </xf>
    <xf numFmtId="0" fontId="49" fillId="0" borderId="10" xfId="10" applyFont="1" applyFill="1" applyBorder="1" applyAlignment="1">
      <alignment horizontal="center" vertical="center"/>
    </xf>
    <xf numFmtId="0" fontId="49" fillId="0" borderId="6" xfId="10" applyFont="1" applyFill="1" applyBorder="1" applyAlignment="1">
      <alignment horizontal="center" vertical="center" wrapText="1"/>
    </xf>
    <xf numFmtId="0" fontId="49" fillId="0" borderId="8" xfId="10" applyFont="1" applyFill="1" applyBorder="1" applyAlignment="1">
      <alignment horizontal="center" vertical="center" wrapText="1"/>
    </xf>
    <xf numFmtId="0" fontId="49" fillId="0" borderId="10" xfId="10" applyFont="1" applyFill="1" applyBorder="1" applyAlignment="1">
      <alignment horizontal="center" vertical="center" wrapText="1"/>
    </xf>
    <xf numFmtId="0" fontId="49" fillId="0" borderId="4" xfId="10" applyFont="1" applyFill="1" applyBorder="1" applyAlignment="1">
      <alignment horizontal="center" vertical="center" wrapText="1"/>
    </xf>
    <xf numFmtId="0" fontId="49" fillId="0" borderId="4" xfId="10" applyFont="1" applyFill="1" applyBorder="1" applyAlignment="1">
      <alignment horizontal="center" vertical="center"/>
    </xf>
  </cellXfs>
  <cellStyles count="20">
    <cellStyle name="Comma" xfId="17" builtinId="3"/>
    <cellStyle name="Comma 17" xfId="1"/>
    <cellStyle name="Comma 2" xfId="16"/>
    <cellStyle name="Comma 3" xfId="2"/>
    <cellStyle name="Comma 3 2" xfId="3"/>
    <cellStyle name="Comma 4" xfId="15"/>
    <cellStyle name="Normal" xfId="0" builtinId="0"/>
    <cellStyle name="Normal 13" xfId="19"/>
    <cellStyle name="Normal 2" xfId="4"/>
    <cellStyle name="Normal 2 2" xfId="13"/>
    <cellStyle name="Normal 2 2 2" xfId="12"/>
    <cellStyle name="Normal 3" xfId="5"/>
    <cellStyle name="Normal 5" xfId="18"/>
    <cellStyle name="Normal 9" xfId="14"/>
    <cellStyle name="Normal_Chi NSTW NSDP 2002 - PL" xfId="6"/>
    <cellStyle name="Normal_pl6Bieu so 02" xfId="7"/>
    <cellStyle name="Normal_pl6Bieu so 03" xfId="8"/>
    <cellStyle name="Normal_pl6Bieu so 25" xfId="9"/>
    <cellStyle name="Normal_pl6Bieu so 31" xfId="10"/>
    <cellStyle name="Normal_Sheet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37</xdr:row>
      <xdr:rowOff>200025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1338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%20TOAN%2014%20PHU%20LUC%202020%20(21.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BCDT 2018"/>
      <sheetName val="15-CK"/>
      <sheetName val="30-CK"/>
      <sheetName val="16-CK"/>
      <sheetName val="17-CK"/>
      <sheetName val="33"/>
      <sheetName val="34"/>
      <sheetName val="37"/>
      <sheetName val="39-CK"/>
      <sheetName val="42"/>
      <sheetName val="32"/>
    </sheetNames>
    <sheetDataSet>
      <sheetData sheetId="0"/>
      <sheetData sheetId="1">
        <row r="13">
          <cell r="C13">
            <v>492374</v>
          </cell>
        </row>
      </sheetData>
      <sheetData sheetId="2"/>
      <sheetData sheetId="3">
        <row r="11">
          <cell r="D11">
            <v>51690</v>
          </cell>
        </row>
      </sheetData>
      <sheetData sheetId="4"/>
      <sheetData sheetId="5">
        <row r="22">
          <cell r="D22">
            <v>291959</v>
          </cell>
        </row>
      </sheetData>
      <sheetData sheetId="6">
        <row r="38">
          <cell r="D38">
            <v>31759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J46"/>
  <sheetViews>
    <sheetView showZeros="0" tabSelected="1" workbookViewId="0">
      <selection activeCell="F11" sqref="F11"/>
    </sheetView>
  </sheetViews>
  <sheetFormatPr defaultColWidth="9.140625" defaultRowHeight="18.75"/>
  <cols>
    <col min="1" max="1" width="8.140625" style="283" customWidth="1"/>
    <col min="2" max="2" width="64.28515625" style="255" customWidth="1"/>
    <col min="3" max="3" width="10.7109375" style="255" hidden="1" customWidth="1"/>
    <col min="4" max="4" width="21.28515625" style="286" customWidth="1"/>
    <col min="5" max="5" width="10.42578125" style="255" customWidth="1"/>
    <col min="6" max="6" width="10.7109375" style="255" customWidth="1"/>
    <col min="7" max="7" width="9.5703125" style="255" bestFit="1" customWidth="1"/>
    <col min="8" max="8" width="13" style="255" customWidth="1"/>
    <col min="9" max="16384" width="9.140625" style="255"/>
  </cols>
  <sheetData>
    <row r="1" spans="1:140" ht="18.75" customHeight="1">
      <c r="A1" s="252"/>
      <c r="B1" s="252"/>
      <c r="C1" s="253"/>
      <c r="D1" s="254" t="s">
        <v>188</v>
      </c>
    </row>
    <row r="2" spans="1:140" ht="42" customHeight="1">
      <c r="A2" s="326" t="s">
        <v>256</v>
      </c>
      <c r="B2" s="327"/>
      <c r="C2" s="327"/>
      <c r="D2" s="327"/>
    </row>
    <row r="3" spans="1:140" ht="33.950000000000003" hidden="1" customHeight="1">
      <c r="A3" s="328" t="s">
        <v>54</v>
      </c>
      <c r="B3" s="329"/>
      <c r="C3" s="329"/>
      <c r="D3" s="329"/>
    </row>
    <row r="4" spans="1:140" s="60" customFormat="1" ht="42" customHeight="1">
      <c r="A4" s="328" t="s">
        <v>284</v>
      </c>
      <c r="B4" s="328"/>
      <c r="C4" s="328"/>
      <c r="D4" s="328"/>
      <c r="E4" s="198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40" ht="25.5" customHeight="1">
      <c r="A5" s="256"/>
      <c r="B5" s="256"/>
      <c r="C5" s="256"/>
      <c r="D5" s="251" t="s">
        <v>240</v>
      </c>
    </row>
    <row r="6" spans="1:140" ht="25.5" customHeight="1">
      <c r="A6" s="257" t="s">
        <v>21</v>
      </c>
      <c r="B6" s="330" t="s">
        <v>6</v>
      </c>
      <c r="C6" s="331"/>
      <c r="D6" s="258" t="s">
        <v>279</v>
      </c>
      <c r="E6" s="259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  <c r="CW6" s="260"/>
      <c r="CX6" s="260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60"/>
      <c r="ED6" s="260"/>
      <c r="EE6" s="260"/>
      <c r="EF6" s="260"/>
      <c r="EG6" s="260"/>
      <c r="EH6" s="260"/>
      <c r="EI6" s="260"/>
      <c r="EJ6" s="260"/>
    </row>
    <row r="7" spans="1:140" ht="23.25" customHeight="1">
      <c r="A7" s="330" t="s">
        <v>91</v>
      </c>
      <c r="B7" s="332"/>
      <c r="C7" s="331"/>
      <c r="D7" s="262">
        <f>D8+D11+D42</f>
        <v>646363</v>
      </c>
      <c r="E7" s="259"/>
      <c r="F7" s="259">
        <f>646363-D7</f>
        <v>0</v>
      </c>
      <c r="G7" s="259"/>
      <c r="H7" s="259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60"/>
      <c r="ED7" s="260"/>
      <c r="EE7" s="260"/>
      <c r="EF7" s="260"/>
      <c r="EG7" s="260"/>
      <c r="EH7" s="260"/>
      <c r="EI7" s="260"/>
      <c r="EJ7" s="260"/>
    </row>
    <row r="8" spans="1:140" ht="24.95" customHeight="1">
      <c r="A8" s="261" t="s">
        <v>10</v>
      </c>
      <c r="B8" s="323" t="s">
        <v>201</v>
      </c>
      <c r="C8" s="323"/>
      <c r="D8" s="263">
        <f>D9+D10</f>
        <v>54788</v>
      </c>
      <c r="E8" s="264"/>
      <c r="F8" s="264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  <c r="CA8" s="265"/>
      <c r="CB8" s="265"/>
      <c r="CC8" s="265"/>
      <c r="CD8" s="265"/>
      <c r="CE8" s="265"/>
      <c r="CF8" s="265"/>
      <c r="CG8" s="265"/>
      <c r="CH8" s="265"/>
      <c r="CI8" s="265"/>
      <c r="CJ8" s="265"/>
      <c r="CK8" s="265"/>
      <c r="CL8" s="265"/>
      <c r="CM8" s="265"/>
      <c r="CN8" s="265"/>
      <c r="CO8" s="265"/>
      <c r="CP8" s="265"/>
      <c r="CQ8" s="265"/>
      <c r="CR8" s="265"/>
      <c r="CS8" s="265"/>
      <c r="CT8" s="265"/>
      <c r="CU8" s="265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265"/>
      <c r="DU8" s="265"/>
      <c r="DV8" s="265"/>
      <c r="DW8" s="265"/>
      <c r="DX8" s="265"/>
      <c r="DY8" s="265"/>
      <c r="DZ8" s="265"/>
      <c r="EA8" s="265"/>
      <c r="EB8" s="265"/>
      <c r="EC8" s="265"/>
      <c r="ED8" s="265"/>
      <c r="EE8" s="265"/>
      <c r="EF8" s="265"/>
      <c r="EG8" s="265"/>
      <c r="EH8" s="265"/>
      <c r="EI8" s="265"/>
      <c r="EJ8" s="265"/>
    </row>
    <row r="9" spans="1:140" ht="24.95" customHeight="1">
      <c r="A9" s="261">
        <v>1</v>
      </c>
      <c r="B9" s="266" t="s">
        <v>92</v>
      </c>
      <c r="C9" s="266"/>
      <c r="D9" s="267">
        <f>'39-CK'!G8</f>
        <v>45748</v>
      </c>
      <c r="E9" s="264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</row>
    <row r="10" spans="1:140" ht="21.75" customHeight="1">
      <c r="A10" s="261">
        <v>2</v>
      </c>
      <c r="B10" s="266" t="s">
        <v>202</v>
      </c>
      <c r="C10" s="266"/>
      <c r="D10" s="267">
        <f>'30-CK'!E25</f>
        <v>9040</v>
      </c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/>
      <c r="DH10" s="265"/>
      <c r="DI10" s="265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265"/>
      <c r="DU10" s="265"/>
      <c r="DV10" s="265"/>
      <c r="DW10" s="265"/>
      <c r="DX10" s="265"/>
      <c r="DY10" s="265"/>
      <c r="DZ10" s="265"/>
      <c r="EA10" s="265"/>
      <c r="EB10" s="265"/>
      <c r="EC10" s="265"/>
      <c r="ED10" s="265"/>
      <c r="EE10" s="265"/>
      <c r="EF10" s="265"/>
      <c r="EG10" s="265"/>
      <c r="EH10" s="265"/>
      <c r="EI10" s="265"/>
      <c r="EJ10" s="265"/>
    </row>
    <row r="11" spans="1:140" ht="21.75" customHeight="1">
      <c r="A11" s="261" t="s">
        <v>11</v>
      </c>
      <c r="B11" s="266" t="s">
        <v>93</v>
      </c>
      <c r="C11" s="266"/>
      <c r="D11" s="263">
        <f>D13+D27+D40+D41</f>
        <v>545140</v>
      </c>
      <c r="E11" s="264"/>
      <c r="F11" s="264"/>
      <c r="G11" s="264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</row>
    <row r="12" spans="1:140" ht="23.25" customHeight="1">
      <c r="A12" s="261"/>
      <c r="B12" s="268" t="s">
        <v>48</v>
      </c>
      <c r="C12" s="266"/>
      <c r="D12" s="267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</row>
    <row r="13" spans="1:140" ht="24.95" customHeight="1">
      <c r="A13" s="261" t="s">
        <v>12</v>
      </c>
      <c r="B13" s="266" t="s">
        <v>31</v>
      </c>
      <c r="C13" s="269"/>
      <c r="D13" s="263">
        <f>SUM(D14:D25)</f>
        <v>43103</v>
      </c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</row>
    <row r="14" spans="1:140" ht="22.5" customHeight="1">
      <c r="A14" s="270"/>
      <c r="B14" s="324" t="s">
        <v>118</v>
      </c>
      <c r="C14" s="324"/>
      <c r="D14" s="267">
        <f>'15-CK'!E22</f>
        <v>43103</v>
      </c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</row>
    <row r="15" spans="1:140" ht="21.95" hidden="1" customHeight="1">
      <c r="A15" s="270"/>
      <c r="B15" s="268" t="s">
        <v>48</v>
      </c>
      <c r="C15" s="271"/>
      <c r="D15" s="267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  <c r="EF15" s="265"/>
      <c r="EG15" s="265"/>
      <c r="EH15" s="265"/>
      <c r="EI15" s="265"/>
      <c r="EJ15" s="265"/>
    </row>
    <row r="16" spans="1:140" ht="21.95" hidden="1" customHeight="1">
      <c r="A16" s="272">
        <v>1</v>
      </c>
      <c r="B16" s="269" t="s">
        <v>49</v>
      </c>
      <c r="C16" s="269"/>
      <c r="D16" s="267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5"/>
      <c r="EB16" s="265"/>
      <c r="EC16" s="265"/>
      <c r="ED16" s="265"/>
      <c r="EE16" s="265"/>
      <c r="EF16" s="265"/>
      <c r="EG16" s="265"/>
      <c r="EH16" s="265"/>
      <c r="EI16" s="265"/>
      <c r="EJ16" s="265"/>
    </row>
    <row r="17" spans="1:140" ht="21.95" hidden="1" customHeight="1">
      <c r="A17" s="272">
        <f>A16+1</f>
        <v>2</v>
      </c>
      <c r="B17" s="269" t="s">
        <v>50</v>
      </c>
      <c r="C17" s="269"/>
      <c r="D17" s="267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  <c r="DL17" s="265"/>
      <c r="DM17" s="265"/>
      <c r="DN17" s="265"/>
      <c r="DO17" s="265"/>
      <c r="DP17" s="265"/>
      <c r="DQ17" s="265"/>
      <c r="DR17" s="265"/>
      <c r="DS17" s="265"/>
      <c r="DT17" s="265"/>
      <c r="DU17" s="265"/>
      <c r="DV17" s="265"/>
      <c r="DW17" s="265"/>
      <c r="DX17" s="265"/>
      <c r="DY17" s="265"/>
      <c r="DZ17" s="265"/>
      <c r="EA17" s="265"/>
      <c r="EB17" s="265"/>
      <c r="EC17" s="265"/>
      <c r="ED17" s="265"/>
      <c r="EE17" s="265"/>
      <c r="EF17" s="265"/>
      <c r="EG17" s="265"/>
      <c r="EH17" s="265"/>
      <c r="EI17" s="265"/>
      <c r="EJ17" s="265"/>
    </row>
    <row r="18" spans="1:140" ht="21.95" hidden="1" customHeight="1">
      <c r="A18" s="272">
        <f t="shared" ref="A18:A25" si="0">A17+1</f>
        <v>3</v>
      </c>
      <c r="B18" s="269" t="s">
        <v>55</v>
      </c>
      <c r="C18" s="269"/>
      <c r="D18" s="267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5"/>
      <c r="BT18" s="265"/>
      <c r="BU18" s="265"/>
      <c r="BV18" s="265"/>
      <c r="BW18" s="265"/>
      <c r="BX18" s="265"/>
      <c r="BY18" s="265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  <c r="DL18" s="265"/>
      <c r="DM18" s="265"/>
      <c r="DN18" s="265"/>
      <c r="DO18" s="265"/>
      <c r="DP18" s="265"/>
      <c r="DQ18" s="265"/>
      <c r="DR18" s="265"/>
      <c r="DS18" s="265"/>
      <c r="DT18" s="265"/>
      <c r="DU18" s="265"/>
      <c r="DV18" s="265"/>
      <c r="DW18" s="265"/>
      <c r="DX18" s="265"/>
      <c r="DY18" s="265"/>
      <c r="DZ18" s="265"/>
      <c r="EA18" s="265"/>
      <c r="EB18" s="265"/>
      <c r="EC18" s="265"/>
      <c r="ED18" s="265"/>
      <c r="EE18" s="265"/>
      <c r="EF18" s="265"/>
      <c r="EG18" s="265"/>
      <c r="EH18" s="265"/>
      <c r="EI18" s="265"/>
      <c r="EJ18" s="265"/>
    </row>
    <row r="19" spans="1:140" ht="21.95" hidden="1" customHeight="1">
      <c r="A19" s="272">
        <f t="shared" si="0"/>
        <v>4</v>
      </c>
      <c r="B19" s="269" t="s">
        <v>56</v>
      </c>
      <c r="C19" s="269"/>
      <c r="D19" s="267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  <c r="DL19" s="265"/>
      <c r="DM19" s="265"/>
      <c r="DN19" s="265"/>
      <c r="DO19" s="265"/>
      <c r="DP19" s="265"/>
      <c r="DQ19" s="265"/>
      <c r="DR19" s="265"/>
      <c r="DS19" s="265"/>
      <c r="DT19" s="265"/>
      <c r="DU19" s="265"/>
      <c r="DV19" s="265"/>
      <c r="DW19" s="265"/>
      <c r="DX19" s="265"/>
      <c r="DY19" s="265"/>
      <c r="DZ19" s="265"/>
      <c r="EA19" s="265"/>
      <c r="EB19" s="265"/>
      <c r="EC19" s="265"/>
      <c r="ED19" s="265"/>
      <c r="EE19" s="265"/>
      <c r="EF19" s="265"/>
      <c r="EG19" s="265"/>
      <c r="EH19" s="265"/>
      <c r="EI19" s="265"/>
      <c r="EJ19" s="265"/>
    </row>
    <row r="20" spans="1:140" ht="21.95" hidden="1" customHeight="1">
      <c r="A20" s="272">
        <f t="shared" si="0"/>
        <v>5</v>
      </c>
      <c r="B20" s="269" t="s">
        <v>57</v>
      </c>
      <c r="C20" s="269"/>
      <c r="D20" s="267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  <c r="AW20" s="265"/>
      <c r="AX20" s="265"/>
      <c r="AY20" s="265"/>
      <c r="AZ20" s="265"/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5"/>
      <c r="BQ20" s="265"/>
      <c r="BR20" s="265"/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5"/>
      <c r="DK20" s="265"/>
      <c r="DL20" s="265"/>
      <c r="DM20" s="265"/>
      <c r="DN20" s="265"/>
      <c r="DO20" s="265"/>
      <c r="DP20" s="265"/>
      <c r="DQ20" s="265"/>
      <c r="DR20" s="265"/>
      <c r="DS20" s="265"/>
      <c r="DT20" s="265"/>
      <c r="DU20" s="265"/>
      <c r="DV20" s="265"/>
      <c r="DW20" s="265"/>
      <c r="DX20" s="265"/>
      <c r="DY20" s="265"/>
      <c r="DZ20" s="265"/>
      <c r="EA20" s="265"/>
      <c r="EB20" s="265"/>
      <c r="EC20" s="265"/>
      <c r="ED20" s="265"/>
      <c r="EE20" s="265"/>
      <c r="EF20" s="265"/>
      <c r="EG20" s="265"/>
      <c r="EH20" s="265"/>
      <c r="EI20" s="265"/>
      <c r="EJ20" s="265"/>
    </row>
    <row r="21" spans="1:140" ht="21.95" hidden="1" customHeight="1">
      <c r="A21" s="272">
        <f t="shared" si="0"/>
        <v>6</v>
      </c>
      <c r="B21" s="269" t="s">
        <v>58</v>
      </c>
      <c r="C21" s="269"/>
      <c r="D21" s="267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  <c r="AW21" s="265"/>
      <c r="AX21" s="265"/>
      <c r="AY21" s="265"/>
      <c r="AZ21" s="265"/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5"/>
      <c r="CH21" s="265"/>
      <c r="CI21" s="265"/>
      <c r="CJ21" s="265"/>
      <c r="CK21" s="265"/>
      <c r="CL21" s="265"/>
      <c r="CM21" s="265"/>
      <c r="CN21" s="265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5"/>
      <c r="DN21" s="265"/>
      <c r="DO21" s="265"/>
      <c r="DP21" s="265"/>
      <c r="DQ21" s="265"/>
      <c r="DR21" s="265"/>
      <c r="DS21" s="265"/>
      <c r="DT21" s="265"/>
      <c r="DU21" s="265"/>
      <c r="DV21" s="265"/>
      <c r="DW21" s="265"/>
      <c r="DX21" s="265"/>
      <c r="DY21" s="265"/>
      <c r="DZ21" s="265"/>
      <c r="EA21" s="265"/>
      <c r="EB21" s="265"/>
      <c r="EC21" s="265"/>
      <c r="ED21" s="265"/>
      <c r="EE21" s="265"/>
      <c r="EF21" s="265"/>
      <c r="EG21" s="265"/>
      <c r="EH21" s="265"/>
      <c r="EI21" s="265"/>
      <c r="EJ21" s="265"/>
    </row>
    <row r="22" spans="1:140" ht="21.95" hidden="1" customHeight="1">
      <c r="A22" s="272">
        <f t="shared" si="0"/>
        <v>7</v>
      </c>
      <c r="B22" s="269" t="s">
        <v>59</v>
      </c>
      <c r="C22" s="269"/>
      <c r="D22" s="267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  <c r="CL22" s="265"/>
      <c r="CM22" s="265"/>
      <c r="CN22" s="265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5"/>
      <c r="DN22" s="265"/>
      <c r="DO22" s="265"/>
      <c r="DP22" s="265"/>
      <c r="DQ22" s="265"/>
      <c r="DR22" s="265"/>
      <c r="DS22" s="265"/>
      <c r="DT22" s="265"/>
      <c r="DU22" s="265"/>
      <c r="DV22" s="265"/>
      <c r="DW22" s="265"/>
      <c r="DX22" s="265"/>
      <c r="DY22" s="265"/>
      <c r="DZ22" s="265"/>
      <c r="EA22" s="265"/>
      <c r="EB22" s="265"/>
      <c r="EC22" s="265"/>
      <c r="ED22" s="265"/>
      <c r="EE22" s="265"/>
      <c r="EF22" s="265"/>
      <c r="EG22" s="265"/>
      <c r="EH22" s="265"/>
      <c r="EI22" s="265"/>
      <c r="EJ22" s="265"/>
    </row>
    <row r="23" spans="1:140" ht="21.95" hidden="1" customHeight="1">
      <c r="A23" s="272">
        <f t="shared" si="0"/>
        <v>8</v>
      </c>
      <c r="B23" s="269" t="s">
        <v>60</v>
      </c>
      <c r="C23" s="269"/>
      <c r="D23" s="267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5"/>
      <c r="CH23" s="265"/>
      <c r="CI23" s="265"/>
      <c r="CJ23" s="265"/>
      <c r="CK23" s="265"/>
      <c r="CL23" s="265"/>
      <c r="CM23" s="265"/>
      <c r="CN23" s="265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5"/>
      <c r="DN23" s="265"/>
      <c r="DO23" s="265"/>
      <c r="DP23" s="265"/>
      <c r="DQ23" s="265"/>
      <c r="DR23" s="265"/>
      <c r="DS23" s="265"/>
      <c r="DT23" s="265"/>
      <c r="DU23" s="265"/>
      <c r="DV23" s="265"/>
      <c r="DW23" s="265"/>
      <c r="DX23" s="265"/>
      <c r="DY23" s="265"/>
      <c r="DZ23" s="265"/>
      <c r="EA23" s="265"/>
      <c r="EB23" s="265"/>
      <c r="EC23" s="265"/>
      <c r="ED23" s="265"/>
      <c r="EE23" s="265"/>
      <c r="EF23" s="265"/>
      <c r="EG23" s="265"/>
      <c r="EH23" s="265"/>
      <c r="EI23" s="265"/>
      <c r="EJ23" s="265"/>
    </row>
    <row r="24" spans="1:140" ht="21.95" hidden="1" customHeight="1">
      <c r="A24" s="272">
        <f t="shared" si="0"/>
        <v>9</v>
      </c>
      <c r="B24" s="269" t="s">
        <v>61</v>
      </c>
      <c r="C24" s="269"/>
      <c r="D24" s="267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  <c r="CL24" s="265"/>
      <c r="CM24" s="265"/>
      <c r="CN24" s="265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/>
      <c r="DH24" s="265"/>
      <c r="DI24" s="265"/>
      <c r="DJ24" s="265"/>
      <c r="DK24" s="265"/>
      <c r="DL24" s="265"/>
      <c r="DM24" s="265"/>
      <c r="DN24" s="265"/>
      <c r="DO24" s="265"/>
      <c r="DP24" s="265"/>
      <c r="DQ24" s="265"/>
      <c r="DR24" s="265"/>
      <c r="DS24" s="265"/>
      <c r="DT24" s="265"/>
      <c r="DU24" s="265"/>
      <c r="DV24" s="265"/>
      <c r="DW24" s="265"/>
      <c r="DX24" s="265"/>
      <c r="DY24" s="265"/>
      <c r="DZ24" s="265"/>
      <c r="EA24" s="265"/>
      <c r="EB24" s="265"/>
      <c r="EC24" s="265"/>
      <c r="ED24" s="265"/>
      <c r="EE24" s="265"/>
      <c r="EF24" s="265"/>
      <c r="EG24" s="265"/>
      <c r="EH24" s="265"/>
      <c r="EI24" s="265"/>
      <c r="EJ24" s="265"/>
    </row>
    <row r="25" spans="1:140" ht="21.95" hidden="1" customHeight="1">
      <c r="A25" s="272">
        <f t="shared" si="0"/>
        <v>10</v>
      </c>
      <c r="B25" s="269" t="s">
        <v>0</v>
      </c>
      <c r="C25" s="269"/>
      <c r="D25" s="267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  <c r="CL25" s="265"/>
      <c r="CM25" s="265"/>
      <c r="CN25" s="265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5"/>
      <c r="DN25" s="265"/>
      <c r="DO25" s="265"/>
      <c r="DP25" s="265"/>
      <c r="DQ25" s="265"/>
      <c r="DR25" s="265"/>
      <c r="DS25" s="265"/>
      <c r="DT25" s="265"/>
      <c r="DU25" s="265"/>
      <c r="DV25" s="265"/>
      <c r="DW25" s="265"/>
      <c r="DX25" s="265"/>
      <c r="DY25" s="265"/>
      <c r="DZ25" s="265"/>
      <c r="EA25" s="265"/>
      <c r="EB25" s="265"/>
      <c r="EC25" s="265"/>
      <c r="ED25" s="265"/>
      <c r="EE25" s="265"/>
      <c r="EF25" s="265"/>
      <c r="EG25" s="265"/>
      <c r="EH25" s="265"/>
      <c r="EI25" s="265"/>
      <c r="EJ25" s="265"/>
    </row>
    <row r="26" spans="1:140" ht="21.95" hidden="1" customHeight="1">
      <c r="A26" s="272">
        <v>2</v>
      </c>
      <c r="B26" s="269" t="s">
        <v>53</v>
      </c>
      <c r="C26" s="269"/>
      <c r="D26" s="267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65"/>
      <c r="BR26" s="265"/>
      <c r="BS26" s="265"/>
      <c r="BT26" s="265"/>
      <c r="BU26" s="265"/>
      <c r="BV26" s="265"/>
      <c r="BW26" s="265"/>
      <c r="BX26" s="265"/>
      <c r="BY26" s="265"/>
      <c r="BZ26" s="265"/>
      <c r="CA26" s="265"/>
      <c r="CB26" s="265"/>
      <c r="CC26" s="265"/>
      <c r="CD26" s="265"/>
      <c r="CE26" s="265"/>
      <c r="CF26" s="265"/>
      <c r="CG26" s="265"/>
      <c r="CH26" s="265"/>
      <c r="CI26" s="265"/>
      <c r="CJ26" s="265"/>
      <c r="CK26" s="265"/>
      <c r="CL26" s="265"/>
      <c r="CM26" s="265"/>
      <c r="CN26" s="265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5"/>
      <c r="DL26" s="265"/>
      <c r="DM26" s="265"/>
      <c r="DN26" s="265"/>
      <c r="DO26" s="265"/>
      <c r="DP26" s="265"/>
      <c r="DQ26" s="265"/>
      <c r="DR26" s="265"/>
      <c r="DS26" s="265"/>
      <c r="DT26" s="265"/>
      <c r="DU26" s="265"/>
      <c r="DV26" s="265"/>
      <c r="DW26" s="265"/>
      <c r="DX26" s="265"/>
      <c r="DY26" s="265"/>
      <c r="DZ26" s="265"/>
      <c r="EA26" s="265"/>
      <c r="EB26" s="265"/>
      <c r="EC26" s="265"/>
      <c r="ED26" s="265"/>
      <c r="EE26" s="265"/>
      <c r="EF26" s="265"/>
      <c r="EG26" s="265"/>
      <c r="EH26" s="265"/>
      <c r="EI26" s="265"/>
      <c r="EJ26" s="265"/>
    </row>
    <row r="27" spans="1:140" ht="24.95" customHeight="1">
      <c r="A27" s="273" t="s">
        <v>17</v>
      </c>
      <c r="B27" s="325" t="s">
        <v>4</v>
      </c>
      <c r="C27" s="325"/>
      <c r="D27" s="263">
        <f>SUM(D29:D39)</f>
        <v>483065</v>
      </c>
      <c r="E27" s="264"/>
      <c r="F27" s="264"/>
      <c r="G27" s="264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5"/>
      <c r="AX27" s="265"/>
      <c r="AY27" s="265"/>
      <c r="AZ27" s="265"/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  <c r="BX27" s="265"/>
      <c r="BY27" s="265"/>
      <c r="BZ27" s="265"/>
      <c r="CA27" s="265"/>
      <c r="CB27" s="265"/>
      <c r="CC27" s="265"/>
      <c r="CD27" s="265"/>
      <c r="CE27" s="265"/>
      <c r="CF27" s="265"/>
      <c r="CG27" s="265"/>
      <c r="CH27" s="265"/>
      <c r="CI27" s="265"/>
      <c r="CJ27" s="265"/>
      <c r="CK27" s="265"/>
      <c r="CL27" s="265"/>
      <c r="CM27" s="265"/>
      <c r="CN27" s="265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5"/>
      <c r="DK27" s="265"/>
      <c r="DL27" s="265"/>
      <c r="DM27" s="265"/>
      <c r="DN27" s="265"/>
      <c r="DO27" s="265"/>
      <c r="DP27" s="265"/>
      <c r="DQ27" s="265"/>
      <c r="DR27" s="265"/>
      <c r="DS27" s="265"/>
      <c r="DT27" s="265"/>
      <c r="DU27" s="265"/>
      <c r="DV27" s="265"/>
      <c r="DW27" s="265"/>
      <c r="DX27" s="265"/>
      <c r="DY27" s="265"/>
      <c r="DZ27" s="265"/>
      <c r="EA27" s="265"/>
      <c r="EB27" s="265"/>
      <c r="EC27" s="265"/>
      <c r="ED27" s="265"/>
      <c r="EE27" s="265"/>
      <c r="EF27" s="265"/>
      <c r="EG27" s="265"/>
      <c r="EH27" s="265"/>
      <c r="EI27" s="265"/>
      <c r="EJ27" s="265"/>
    </row>
    <row r="28" spans="1:140" ht="22.5" customHeight="1">
      <c r="A28" s="272"/>
      <c r="B28" s="268" t="s">
        <v>48</v>
      </c>
      <c r="C28" s="269"/>
      <c r="D28" s="267"/>
      <c r="E28" s="265"/>
      <c r="F28" s="264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  <c r="AW28" s="265"/>
      <c r="AX28" s="265"/>
      <c r="AY28" s="265"/>
      <c r="AZ28" s="265"/>
      <c r="BA28" s="265"/>
      <c r="BB28" s="265"/>
      <c r="BC28" s="265"/>
      <c r="BD28" s="265"/>
      <c r="BE28" s="265"/>
      <c r="BF28" s="265"/>
      <c r="BG28" s="265"/>
      <c r="BH28" s="265"/>
      <c r="BI28" s="265"/>
      <c r="BJ28" s="265"/>
      <c r="BK28" s="265"/>
      <c r="BL28" s="265"/>
      <c r="BM28" s="265"/>
      <c r="BN28" s="265"/>
      <c r="BO28" s="265"/>
      <c r="BP28" s="265"/>
      <c r="BQ28" s="265"/>
      <c r="BR28" s="265"/>
      <c r="BS28" s="265"/>
      <c r="BT28" s="265"/>
      <c r="BU28" s="265"/>
      <c r="BV28" s="265"/>
      <c r="BW28" s="265"/>
      <c r="BX28" s="265"/>
      <c r="BY28" s="265"/>
      <c r="BZ28" s="265"/>
      <c r="CA28" s="265"/>
      <c r="CB28" s="265"/>
      <c r="CC28" s="265"/>
      <c r="CD28" s="265"/>
      <c r="CE28" s="265"/>
      <c r="CF28" s="265"/>
      <c r="CG28" s="265"/>
      <c r="CH28" s="265"/>
      <c r="CI28" s="265"/>
      <c r="CJ28" s="265"/>
      <c r="CK28" s="265"/>
      <c r="CL28" s="265"/>
      <c r="CM28" s="265"/>
      <c r="CN28" s="265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265"/>
      <c r="DU28" s="265"/>
      <c r="DV28" s="265"/>
      <c r="DW28" s="265"/>
      <c r="DX28" s="265"/>
      <c r="DY28" s="265"/>
      <c r="DZ28" s="265"/>
      <c r="EA28" s="265"/>
      <c r="EB28" s="265"/>
      <c r="EC28" s="265"/>
      <c r="ED28" s="265"/>
      <c r="EE28" s="265"/>
      <c r="EF28" s="265"/>
      <c r="EG28" s="265"/>
      <c r="EH28" s="265"/>
      <c r="EI28" s="265"/>
      <c r="EJ28" s="265"/>
    </row>
    <row r="29" spans="1:140" ht="22.5" customHeight="1">
      <c r="A29" s="272">
        <v>1</v>
      </c>
      <c r="B29" s="269" t="s">
        <v>161</v>
      </c>
      <c r="C29" s="269"/>
      <c r="D29" s="267">
        <f>'37'!D12</f>
        <v>327296</v>
      </c>
      <c r="E29" s="264"/>
      <c r="F29" s="274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  <c r="AW29" s="265"/>
      <c r="AX29" s="265"/>
      <c r="AY29" s="265"/>
      <c r="AZ29" s="265"/>
      <c r="BA29" s="265"/>
      <c r="BB29" s="265"/>
      <c r="BC29" s="265"/>
      <c r="BD29" s="265"/>
      <c r="BE29" s="265"/>
      <c r="BF29" s="265"/>
      <c r="BG29" s="265"/>
      <c r="BH29" s="265"/>
      <c r="BI29" s="265"/>
      <c r="BJ29" s="265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5"/>
      <c r="CH29" s="265"/>
      <c r="CI29" s="265"/>
      <c r="CJ29" s="265"/>
      <c r="CK29" s="265"/>
      <c r="CL29" s="265"/>
      <c r="CM29" s="265"/>
      <c r="CN29" s="265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5"/>
      <c r="DN29" s="265"/>
      <c r="DO29" s="265"/>
      <c r="DP29" s="265"/>
      <c r="DQ29" s="265"/>
      <c r="DR29" s="265"/>
      <c r="DS29" s="265"/>
      <c r="DT29" s="265"/>
      <c r="DU29" s="265"/>
      <c r="DV29" s="265"/>
      <c r="DW29" s="265"/>
      <c r="DX29" s="265"/>
      <c r="DY29" s="265"/>
      <c r="DZ29" s="265"/>
      <c r="EA29" s="265"/>
      <c r="EB29" s="265"/>
      <c r="EC29" s="265"/>
      <c r="ED29" s="265"/>
      <c r="EE29" s="265"/>
      <c r="EF29" s="265"/>
      <c r="EG29" s="265"/>
      <c r="EH29" s="265"/>
      <c r="EI29" s="265"/>
      <c r="EJ29" s="265"/>
    </row>
    <row r="30" spans="1:140" ht="24.95" customHeight="1">
      <c r="A30" s="272">
        <v>2</v>
      </c>
      <c r="B30" s="269" t="s">
        <v>162</v>
      </c>
      <c r="C30" s="269"/>
      <c r="D30" s="267">
        <f>'37'!E12</f>
        <v>6588</v>
      </c>
      <c r="E30" s="265"/>
      <c r="F30" s="274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5"/>
      <c r="BF30" s="265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5"/>
      <c r="BR30" s="265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  <c r="CC30" s="265"/>
      <c r="CD30" s="265"/>
      <c r="CE30" s="265"/>
      <c r="CF30" s="265"/>
      <c r="CG30" s="265"/>
      <c r="CH30" s="265"/>
      <c r="CI30" s="265"/>
      <c r="CJ30" s="265"/>
      <c r="CK30" s="265"/>
      <c r="CL30" s="265"/>
      <c r="CM30" s="265"/>
      <c r="CN30" s="265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5"/>
      <c r="DN30" s="265"/>
      <c r="DO30" s="265"/>
      <c r="DP30" s="265"/>
      <c r="DQ30" s="265"/>
      <c r="DR30" s="265"/>
      <c r="DS30" s="265"/>
      <c r="DT30" s="265"/>
      <c r="DU30" s="265"/>
      <c r="DV30" s="265"/>
      <c r="DW30" s="265"/>
      <c r="DX30" s="265"/>
      <c r="DY30" s="265"/>
      <c r="DZ30" s="265"/>
      <c r="EA30" s="265"/>
      <c r="EB30" s="265"/>
      <c r="EC30" s="265"/>
      <c r="ED30" s="265"/>
      <c r="EE30" s="265"/>
      <c r="EF30" s="265"/>
      <c r="EG30" s="265"/>
      <c r="EH30" s="265"/>
      <c r="EI30" s="265"/>
      <c r="EJ30" s="265"/>
    </row>
    <row r="31" spans="1:140" ht="22.5" customHeight="1">
      <c r="A31" s="272">
        <v>3</v>
      </c>
      <c r="B31" s="269" t="s">
        <v>117</v>
      </c>
      <c r="C31" s="269"/>
      <c r="D31" s="267">
        <f>'37'!F12</f>
        <v>2227</v>
      </c>
      <c r="E31" s="265"/>
      <c r="F31" s="274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65"/>
      <c r="AW31" s="265"/>
      <c r="AX31" s="265"/>
      <c r="AY31" s="265"/>
      <c r="AZ31" s="265"/>
      <c r="BA31" s="265"/>
      <c r="BB31" s="265"/>
      <c r="BC31" s="265"/>
      <c r="BD31" s="265"/>
      <c r="BE31" s="265"/>
      <c r="BF31" s="265"/>
      <c r="BG31" s="265"/>
      <c r="BH31" s="265"/>
      <c r="BI31" s="265"/>
      <c r="BJ31" s="265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5"/>
      <c r="BZ31" s="265"/>
      <c r="CA31" s="265"/>
      <c r="CB31" s="265"/>
      <c r="CC31" s="265"/>
      <c r="CD31" s="265"/>
      <c r="CE31" s="265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CZ31" s="265"/>
      <c r="DA31" s="265"/>
      <c r="DB31" s="265"/>
      <c r="DC31" s="265"/>
      <c r="DD31" s="265"/>
      <c r="DE31" s="265"/>
      <c r="DF31" s="265"/>
      <c r="DG31" s="265"/>
      <c r="DH31" s="265"/>
      <c r="DI31" s="265"/>
      <c r="DJ31" s="265"/>
      <c r="DK31" s="265"/>
      <c r="DL31" s="265"/>
      <c r="DM31" s="265"/>
      <c r="DN31" s="265"/>
      <c r="DO31" s="265"/>
      <c r="DP31" s="265"/>
      <c r="DQ31" s="265"/>
      <c r="DR31" s="265"/>
      <c r="DS31" s="265"/>
      <c r="DT31" s="265"/>
      <c r="DU31" s="265"/>
      <c r="DV31" s="265"/>
      <c r="DW31" s="265"/>
      <c r="DX31" s="265"/>
      <c r="DY31" s="265"/>
      <c r="DZ31" s="265"/>
      <c r="EA31" s="265"/>
      <c r="EB31" s="265"/>
      <c r="EC31" s="265"/>
      <c r="ED31" s="265"/>
      <c r="EE31" s="265"/>
      <c r="EF31" s="265"/>
      <c r="EG31" s="265"/>
      <c r="EH31" s="265"/>
      <c r="EI31" s="265"/>
      <c r="EJ31" s="265"/>
    </row>
    <row r="32" spans="1:140" ht="26.25" customHeight="1">
      <c r="A32" s="272">
        <v>4</v>
      </c>
      <c r="B32" s="269" t="s">
        <v>278</v>
      </c>
      <c r="C32" s="269"/>
      <c r="D32" s="267">
        <f>'37'!G12</f>
        <v>3856</v>
      </c>
      <c r="E32" s="265"/>
      <c r="F32" s="274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265"/>
      <c r="BE32" s="265"/>
      <c r="BF32" s="265"/>
      <c r="BG32" s="265"/>
      <c r="BH32" s="265"/>
      <c r="BI32" s="265"/>
      <c r="BJ32" s="265"/>
      <c r="BK32" s="265"/>
      <c r="BL32" s="265"/>
      <c r="BM32" s="265"/>
      <c r="BN32" s="265"/>
      <c r="BO32" s="265"/>
      <c r="BP32" s="265"/>
      <c r="BQ32" s="265"/>
      <c r="BR32" s="265"/>
      <c r="BS32" s="265"/>
      <c r="BT32" s="265"/>
      <c r="BU32" s="265"/>
      <c r="BV32" s="265"/>
      <c r="BW32" s="265"/>
      <c r="BX32" s="265"/>
      <c r="BY32" s="265"/>
      <c r="BZ32" s="265"/>
      <c r="CA32" s="265"/>
      <c r="CB32" s="265"/>
      <c r="CC32" s="265"/>
      <c r="CD32" s="265"/>
      <c r="CE32" s="265"/>
      <c r="CF32" s="265"/>
      <c r="CG32" s="265"/>
      <c r="CH32" s="265"/>
      <c r="CI32" s="265"/>
      <c r="CJ32" s="265"/>
      <c r="CK32" s="265"/>
      <c r="CL32" s="265"/>
      <c r="CM32" s="265"/>
      <c r="CN32" s="265"/>
      <c r="CO32" s="265"/>
      <c r="CP32" s="265"/>
      <c r="CQ32" s="265"/>
      <c r="CR32" s="265"/>
      <c r="CS32" s="265"/>
      <c r="CT32" s="265"/>
      <c r="CU32" s="265"/>
      <c r="CV32" s="265"/>
      <c r="CW32" s="265"/>
      <c r="CX32" s="265"/>
      <c r="CY32" s="265"/>
      <c r="CZ32" s="265"/>
      <c r="DA32" s="265"/>
      <c r="DB32" s="265"/>
      <c r="DC32" s="265"/>
      <c r="DD32" s="265"/>
      <c r="DE32" s="265"/>
      <c r="DF32" s="265"/>
      <c r="DG32" s="265"/>
      <c r="DH32" s="265"/>
      <c r="DI32" s="265"/>
      <c r="DJ32" s="265"/>
      <c r="DK32" s="265"/>
      <c r="DL32" s="265"/>
      <c r="DM32" s="265"/>
      <c r="DN32" s="265"/>
      <c r="DO32" s="265"/>
      <c r="DP32" s="265"/>
      <c r="DQ32" s="265"/>
      <c r="DR32" s="265"/>
      <c r="DS32" s="265"/>
      <c r="DT32" s="265"/>
      <c r="DU32" s="265"/>
      <c r="DV32" s="265"/>
      <c r="DW32" s="265"/>
      <c r="DX32" s="265"/>
      <c r="DY32" s="265"/>
      <c r="DZ32" s="265"/>
      <c r="EA32" s="265"/>
      <c r="EB32" s="265"/>
      <c r="EC32" s="265"/>
      <c r="ED32" s="265"/>
      <c r="EE32" s="265"/>
      <c r="EF32" s="265"/>
      <c r="EG32" s="265"/>
      <c r="EH32" s="265"/>
      <c r="EI32" s="265"/>
      <c r="EJ32" s="265"/>
    </row>
    <row r="33" spans="1:140" ht="24.95" customHeight="1">
      <c r="A33" s="272">
        <v>6</v>
      </c>
      <c r="B33" s="269" t="s">
        <v>59</v>
      </c>
      <c r="C33" s="269"/>
      <c r="D33" s="267">
        <f>'37'!I12</f>
        <v>8212</v>
      </c>
      <c r="E33" s="265"/>
      <c r="F33" s="274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/>
      <c r="DH33" s="265"/>
      <c r="DI33" s="265"/>
      <c r="DJ33" s="265"/>
      <c r="DK33" s="265"/>
      <c r="DL33" s="265"/>
      <c r="DM33" s="265"/>
      <c r="DN33" s="265"/>
      <c r="DO33" s="265"/>
      <c r="DP33" s="265"/>
      <c r="DQ33" s="265"/>
      <c r="DR33" s="265"/>
      <c r="DS33" s="265"/>
      <c r="DT33" s="265"/>
      <c r="DU33" s="265"/>
      <c r="DV33" s="265"/>
      <c r="DW33" s="265"/>
      <c r="DX33" s="265"/>
      <c r="DY33" s="265"/>
      <c r="DZ33" s="265"/>
      <c r="EA33" s="265"/>
      <c r="EB33" s="265"/>
      <c r="EC33" s="265"/>
      <c r="ED33" s="265"/>
      <c r="EE33" s="265"/>
      <c r="EF33" s="265"/>
      <c r="EG33" s="265"/>
      <c r="EH33" s="265"/>
      <c r="EI33" s="265"/>
      <c r="EJ33" s="265"/>
    </row>
    <row r="34" spans="1:140" s="278" customFormat="1" ht="24.95" customHeight="1">
      <c r="A34" s="275">
        <v>7</v>
      </c>
      <c r="B34" s="276" t="s">
        <v>60</v>
      </c>
      <c r="C34" s="276"/>
      <c r="D34" s="267">
        <f>'37'!J12</f>
        <v>49136</v>
      </c>
      <c r="E34" s="277"/>
      <c r="F34" s="274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277"/>
      <c r="AZ34" s="277"/>
      <c r="BA34" s="277"/>
      <c r="BB34" s="277"/>
      <c r="BC34" s="277"/>
      <c r="BD34" s="277"/>
      <c r="BE34" s="277"/>
      <c r="BF34" s="277"/>
      <c r="BG34" s="277"/>
      <c r="BH34" s="277"/>
      <c r="BI34" s="277"/>
      <c r="BJ34" s="277"/>
      <c r="BK34" s="277"/>
      <c r="BL34" s="277"/>
      <c r="BM34" s="277"/>
      <c r="BN34" s="277"/>
      <c r="BO34" s="277"/>
      <c r="BP34" s="277"/>
      <c r="BQ34" s="277"/>
      <c r="BR34" s="277"/>
      <c r="BS34" s="277"/>
      <c r="BT34" s="277"/>
      <c r="BU34" s="277"/>
      <c r="BV34" s="277"/>
      <c r="BW34" s="277"/>
      <c r="BX34" s="277"/>
      <c r="BY34" s="277"/>
      <c r="BZ34" s="277"/>
      <c r="CA34" s="277"/>
      <c r="CB34" s="277"/>
      <c r="CC34" s="277"/>
      <c r="CD34" s="277"/>
      <c r="CE34" s="277"/>
      <c r="CF34" s="277"/>
      <c r="CG34" s="277"/>
      <c r="CH34" s="277"/>
      <c r="CI34" s="277"/>
      <c r="CJ34" s="277"/>
      <c r="CK34" s="277"/>
      <c r="CL34" s="277"/>
      <c r="CM34" s="277"/>
      <c r="CN34" s="277"/>
      <c r="CO34" s="277"/>
      <c r="CP34" s="277"/>
      <c r="CQ34" s="277"/>
      <c r="CR34" s="277"/>
      <c r="CS34" s="277"/>
      <c r="CT34" s="277"/>
      <c r="CU34" s="277"/>
      <c r="CV34" s="277"/>
      <c r="CW34" s="277"/>
      <c r="CX34" s="277"/>
      <c r="CY34" s="277"/>
      <c r="CZ34" s="277"/>
      <c r="DA34" s="277"/>
      <c r="DB34" s="277"/>
      <c r="DC34" s="277"/>
      <c r="DD34" s="277"/>
      <c r="DE34" s="277"/>
      <c r="DF34" s="277"/>
      <c r="DG34" s="277"/>
      <c r="DH34" s="277"/>
      <c r="DI34" s="277"/>
      <c r="DJ34" s="277"/>
      <c r="DK34" s="277"/>
      <c r="DL34" s="277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77"/>
      <c r="ED34" s="277"/>
      <c r="EE34" s="277"/>
      <c r="EF34" s="277"/>
      <c r="EG34" s="277"/>
      <c r="EH34" s="277"/>
      <c r="EI34" s="277"/>
      <c r="EJ34" s="277"/>
    </row>
    <row r="35" spans="1:140" ht="27.75" customHeight="1">
      <c r="A35" s="272">
        <v>8</v>
      </c>
      <c r="B35" s="269" t="s">
        <v>61</v>
      </c>
      <c r="C35" s="269"/>
      <c r="D35" s="267">
        <f>'37'!M12</f>
        <v>38045</v>
      </c>
      <c r="E35" s="265"/>
      <c r="F35" s="274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5"/>
      <c r="BE35" s="265"/>
      <c r="BF35" s="265"/>
      <c r="BG35" s="265"/>
      <c r="BH35" s="265"/>
      <c r="BI35" s="265"/>
      <c r="BJ35" s="265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5"/>
      <c r="CE35" s="265"/>
      <c r="CF35" s="265"/>
      <c r="CG35" s="265"/>
      <c r="CH35" s="265"/>
      <c r="CI35" s="265"/>
      <c r="CJ35" s="265"/>
      <c r="CK35" s="265"/>
      <c r="CL35" s="265"/>
      <c r="CM35" s="265"/>
      <c r="CN35" s="265"/>
      <c r="CO35" s="265"/>
      <c r="CP35" s="265"/>
      <c r="CQ35" s="265"/>
      <c r="CR35" s="265"/>
      <c r="CS35" s="265"/>
      <c r="CT35" s="265"/>
      <c r="CU35" s="265"/>
      <c r="CV35" s="265"/>
      <c r="CW35" s="265"/>
      <c r="CX35" s="265"/>
      <c r="CY35" s="265"/>
      <c r="CZ35" s="265"/>
      <c r="DA35" s="265"/>
      <c r="DB35" s="265"/>
      <c r="DC35" s="265"/>
      <c r="DD35" s="265"/>
      <c r="DE35" s="265"/>
      <c r="DF35" s="265"/>
      <c r="DG35" s="265"/>
      <c r="DH35" s="265"/>
      <c r="DI35" s="265"/>
      <c r="DJ35" s="265"/>
      <c r="DK35" s="265"/>
      <c r="DL35" s="265"/>
      <c r="DM35" s="265"/>
      <c r="DN35" s="265"/>
      <c r="DO35" s="265"/>
      <c r="DP35" s="265"/>
      <c r="DQ35" s="265"/>
      <c r="DR35" s="265"/>
      <c r="DS35" s="265"/>
      <c r="DT35" s="265"/>
      <c r="DU35" s="265"/>
      <c r="DV35" s="265"/>
      <c r="DW35" s="265"/>
      <c r="DX35" s="265"/>
      <c r="DY35" s="265"/>
      <c r="DZ35" s="265"/>
      <c r="EA35" s="265"/>
      <c r="EB35" s="265"/>
      <c r="EC35" s="265"/>
      <c r="ED35" s="265"/>
      <c r="EE35" s="265"/>
      <c r="EF35" s="265"/>
      <c r="EG35" s="265"/>
      <c r="EH35" s="265"/>
      <c r="EI35" s="265"/>
      <c r="EJ35" s="265"/>
    </row>
    <row r="36" spans="1:140" ht="24.95" customHeight="1">
      <c r="A36" s="272">
        <v>9</v>
      </c>
      <c r="B36" s="269" t="s">
        <v>0</v>
      </c>
      <c r="C36" s="269"/>
      <c r="D36" s="267">
        <f>'37'!O12</f>
        <v>43580</v>
      </c>
      <c r="E36" s="265"/>
      <c r="F36" s="274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265"/>
      <c r="CG36" s="265"/>
      <c r="CH36" s="265"/>
      <c r="CI36" s="265"/>
      <c r="CJ36" s="265"/>
      <c r="CK36" s="265"/>
      <c r="CL36" s="265"/>
      <c r="CM36" s="265"/>
      <c r="CN36" s="265"/>
      <c r="CO36" s="265"/>
      <c r="CP36" s="265"/>
      <c r="CQ36" s="265"/>
      <c r="CR36" s="265"/>
      <c r="CS36" s="265"/>
      <c r="CT36" s="265"/>
      <c r="CU36" s="265"/>
      <c r="CV36" s="265"/>
      <c r="CW36" s="265"/>
      <c r="CX36" s="265"/>
      <c r="CY36" s="265"/>
      <c r="CZ36" s="265"/>
      <c r="DA36" s="265"/>
      <c r="DB36" s="265"/>
      <c r="DC36" s="265"/>
      <c r="DD36" s="265"/>
      <c r="DE36" s="265"/>
      <c r="DF36" s="265"/>
      <c r="DG36" s="265"/>
      <c r="DH36" s="265"/>
      <c r="DI36" s="265"/>
      <c r="DJ36" s="265"/>
      <c r="DK36" s="265"/>
      <c r="DL36" s="265"/>
      <c r="DM36" s="265"/>
      <c r="DN36" s="265"/>
      <c r="DO36" s="265"/>
      <c r="DP36" s="265"/>
      <c r="DQ36" s="265"/>
      <c r="DR36" s="265"/>
      <c r="DS36" s="265"/>
      <c r="DT36" s="265"/>
      <c r="DU36" s="265"/>
      <c r="DV36" s="265"/>
      <c r="DW36" s="265"/>
      <c r="DX36" s="265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5"/>
    </row>
    <row r="37" spans="1:140" ht="24.95" customHeight="1">
      <c r="A37" s="272">
        <v>10</v>
      </c>
      <c r="B37" s="269" t="s">
        <v>108</v>
      </c>
      <c r="C37" s="269"/>
      <c r="D37" s="267">
        <f>'37'!N55+'37'!N57+'37'!N58+'37'!N59</f>
        <v>2679</v>
      </c>
      <c r="E37" s="264"/>
      <c r="F37" s="274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5"/>
      <c r="CE37" s="265"/>
      <c r="CF37" s="265"/>
      <c r="CG37" s="265"/>
      <c r="CH37" s="265"/>
      <c r="CI37" s="265"/>
      <c r="CJ37" s="265"/>
      <c r="CK37" s="265"/>
      <c r="CL37" s="265"/>
      <c r="CM37" s="265"/>
      <c r="CN37" s="265"/>
      <c r="CO37" s="265"/>
      <c r="CP37" s="265"/>
      <c r="CQ37" s="265"/>
      <c r="CR37" s="265"/>
      <c r="CS37" s="265"/>
      <c r="CT37" s="265"/>
      <c r="CU37" s="265"/>
      <c r="CV37" s="265"/>
      <c r="CW37" s="265"/>
      <c r="CX37" s="265"/>
      <c r="CY37" s="265"/>
      <c r="CZ37" s="265"/>
      <c r="DA37" s="265"/>
      <c r="DB37" s="265"/>
      <c r="DC37" s="265"/>
      <c r="DD37" s="265"/>
      <c r="DE37" s="265"/>
      <c r="DF37" s="265"/>
      <c r="DG37" s="265"/>
      <c r="DH37" s="265"/>
      <c r="DI37" s="265"/>
      <c r="DJ37" s="265"/>
      <c r="DK37" s="265"/>
      <c r="DL37" s="265"/>
      <c r="DM37" s="265"/>
      <c r="DN37" s="265"/>
      <c r="DO37" s="265"/>
      <c r="DP37" s="265"/>
      <c r="DQ37" s="265"/>
      <c r="DR37" s="265"/>
      <c r="DS37" s="265"/>
      <c r="DT37" s="265"/>
      <c r="DU37" s="265"/>
      <c r="DV37" s="265"/>
      <c r="DW37" s="265"/>
      <c r="DX37" s="265"/>
      <c r="DY37" s="265"/>
      <c r="DZ37" s="265"/>
      <c r="EA37" s="265"/>
      <c r="EB37" s="265"/>
      <c r="EC37" s="265"/>
      <c r="ED37" s="265"/>
      <c r="EE37" s="265"/>
      <c r="EF37" s="265"/>
      <c r="EG37" s="265"/>
      <c r="EH37" s="265"/>
      <c r="EI37" s="265"/>
      <c r="EJ37" s="265"/>
    </row>
    <row r="38" spans="1:140" ht="24.95" customHeight="1">
      <c r="A38" s="272">
        <v>11</v>
      </c>
      <c r="B38" s="269" t="s">
        <v>109</v>
      </c>
      <c r="C38" s="269"/>
      <c r="D38" s="267">
        <f>'37'!N60</f>
        <v>446</v>
      </c>
      <c r="E38" s="265"/>
      <c r="F38" s="274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  <c r="BP38" s="265"/>
      <c r="BQ38" s="265"/>
      <c r="BR38" s="265"/>
      <c r="BS38" s="265"/>
      <c r="BT38" s="265"/>
      <c r="BU38" s="265"/>
      <c r="BV38" s="265"/>
      <c r="BW38" s="265"/>
      <c r="BX38" s="265"/>
      <c r="BY38" s="265"/>
      <c r="BZ38" s="265"/>
      <c r="CA38" s="265"/>
      <c r="CB38" s="265"/>
      <c r="CC38" s="265"/>
      <c r="CD38" s="265"/>
      <c r="CE38" s="265"/>
      <c r="CF38" s="265"/>
      <c r="CG38" s="265"/>
      <c r="CH38" s="265"/>
      <c r="CI38" s="265"/>
      <c r="CJ38" s="265"/>
      <c r="CK38" s="265"/>
      <c r="CL38" s="265"/>
      <c r="CM38" s="265"/>
      <c r="CN38" s="265"/>
      <c r="CO38" s="265"/>
      <c r="CP38" s="265"/>
      <c r="CQ38" s="265"/>
      <c r="CR38" s="265"/>
      <c r="CS38" s="265"/>
      <c r="CT38" s="265"/>
      <c r="CU38" s="265"/>
      <c r="CV38" s="265"/>
      <c r="CW38" s="265"/>
      <c r="CX38" s="265"/>
      <c r="CY38" s="265"/>
      <c r="CZ38" s="265"/>
      <c r="DA38" s="265"/>
      <c r="DB38" s="265"/>
      <c r="DC38" s="265"/>
      <c r="DD38" s="265"/>
      <c r="DE38" s="265"/>
      <c r="DF38" s="265"/>
      <c r="DG38" s="265"/>
      <c r="DH38" s="265"/>
      <c r="DI38" s="265"/>
      <c r="DJ38" s="265"/>
      <c r="DK38" s="265"/>
      <c r="DL38" s="265"/>
      <c r="DM38" s="265"/>
      <c r="DN38" s="265"/>
      <c r="DO38" s="265"/>
      <c r="DP38" s="265"/>
      <c r="DQ38" s="265"/>
      <c r="DR38" s="265"/>
      <c r="DS38" s="265"/>
      <c r="DT38" s="265"/>
      <c r="DU38" s="265"/>
      <c r="DV38" s="265"/>
      <c r="DW38" s="265"/>
      <c r="DX38" s="265"/>
      <c r="DY38" s="265"/>
      <c r="DZ38" s="265"/>
      <c r="EA38" s="265"/>
      <c r="EB38" s="265"/>
      <c r="EC38" s="265"/>
      <c r="ED38" s="265"/>
      <c r="EE38" s="265"/>
      <c r="EF38" s="265"/>
      <c r="EG38" s="265"/>
      <c r="EH38" s="265"/>
      <c r="EI38" s="265"/>
      <c r="EJ38" s="265"/>
    </row>
    <row r="39" spans="1:140" ht="24.95" customHeight="1">
      <c r="A39" s="272">
        <v>12</v>
      </c>
      <c r="B39" s="269" t="s">
        <v>190</v>
      </c>
      <c r="C39" s="269"/>
      <c r="D39" s="267">
        <f>'37'!P12</f>
        <v>1000</v>
      </c>
      <c r="E39" s="265"/>
      <c r="F39" s="264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5"/>
      <c r="CH39" s="265"/>
      <c r="CI39" s="265"/>
      <c r="CJ39" s="265"/>
      <c r="CK39" s="265"/>
      <c r="CL39" s="265"/>
      <c r="CM39" s="265"/>
      <c r="CN39" s="265"/>
      <c r="CO39" s="265"/>
      <c r="CP39" s="265"/>
      <c r="CQ39" s="265"/>
      <c r="CR39" s="265"/>
      <c r="CS39" s="265"/>
      <c r="CT39" s="265"/>
      <c r="CU39" s="265"/>
      <c r="CV39" s="265"/>
      <c r="CW39" s="265"/>
      <c r="CX39" s="265"/>
      <c r="CY39" s="265"/>
      <c r="CZ39" s="265"/>
      <c r="DA39" s="265"/>
      <c r="DB39" s="265"/>
      <c r="DC39" s="265"/>
      <c r="DD39" s="265"/>
      <c r="DE39" s="265"/>
      <c r="DF39" s="265"/>
      <c r="DG39" s="265"/>
      <c r="DH39" s="265"/>
      <c r="DI39" s="265"/>
      <c r="DJ39" s="265"/>
      <c r="DK39" s="265"/>
      <c r="DL39" s="265"/>
      <c r="DM39" s="265"/>
      <c r="DN39" s="265"/>
      <c r="DO39" s="265"/>
      <c r="DP39" s="265"/>
      <c r="DQ39" s="265"/>
      <c r="DR39" s="265"/>
      <c r="DS39" s="265"/>
      <c r="DT39" s="265"/>
      <c r="DU39" s="265"/>
      <c r="DV39" s="265"/>
      <c r="DW39" s="265"/>
      <c r="DX39" s="265"/>
      <c r="DY39" s="265"/>
      <c r="DZ39" s="265"/>
      <c r="EA39" s="265"/>
      <c r="EB39" s="265"/>
      <c r="EC39" s="265"/>
      <c r="ED39" s="265"/>
      <c r="EE39" s="265"/>
      <c r="EF39" s="265"/>
      <c r="EG39" s="265"/>
      <c r="EH39" s="265"/>
      <c r="EI39" s="265"/>
      <c r="EJ39" s="265"/>
    </row>
    <row r="40" spans="1:140" ht="23.25" customHeight="1">
      <c r="A40" s="273" t="s">
        <v>19</v>
      </c>
      <c r="B40" s="325" t="s">
        <v>7</v>
      </c>
      <c r="C40" s="325"/>
      <c r="D40" s="263">
        <f>'17-CK'!D24</f>
        <v>11763</v>
      </c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5"/>
      <c r="BD40" s="265"/>
      <c r="BE40" s="265"/>
      <c r="BF40" s="265"/>
      <c r="BG40" s="265"/>
      <c r="BH40" s="265"/>
      <c r="BI40" s="265"/>
      <c r="BJ40" s="265"/>
      <c r="BK40" s="265"/>
      <c r="BL40" s="265"/>
      <c r="BM40" s="265"/>
      <c r="BN40" s="265"/>
      <c r="BO40" s="265"/>
      <c r="BP40" s="265"/>
      <c r="BQ40" s="265"/>
      <c r="BR40" s="265"/>
      <c r="BS40" s="265"/>
      <c r="BT40" s="265"/>
      <c r="BU40" s="265"/>
      <c r="BV40" s="265"/>
      <c r="BW40" s="265"/>
      <c r="BX40" s="265"/>
      <c r="BY40" s="265"/>
      <c r="BZ40" s="265"/>
      <c r="CA40" s="265"/>
      <c r="CB40" s="265"/>
      <c r="CC40" s="265"/>
      <c r="CD40" s="265"/>
      <c r="CE40" s="265"/>
      <c r="CF40" s="265"/>
      <c r="CG40" s="265"/>
      <c r="CH40" s="265"/>
      <c r="CI40" s="265"/>
      <c r="CJ40" s="265"/>
      <c r="CK40" s="265"/>
      <c r="CL40" s="265"/>
      <c r="CM40" s="265"/>
      <c r="CN40" s="265"/>
      <c r="CO40" s="265"/>
      <c r="CP40" s="265"/>
      <c r="CQ40" s="265"/>
      <c r="CR40" s="265"/>
      <c r="CS40" s="265"/>
      <c r="CT40" s="265"/>
      <c r="CU40" s="26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  <c r="DJ40" s="265"/>
      <c r="DK40" s="265"/>
      <c r="DL40" s="265"/>
      <c r="DM40" s="265"/>
      <c r="DN40" s="265"/>
      <c r="DO40" s="265"/>
      <c r="DP40" s="265"/>
      <c r="DQ40" s="265"/>
      <c r="DR40" s="265"/>
      <c r="DS40" s="265"/>
      <c r="DT40" s="265"/>
      <c r="DU40" s="265"/>
      <c r="DV40" s="265"/>
      <c r="DW40" s="265"/>
      <c r="DX40" s="265"/>
      <c r="DY40" s="265"/>
      <c r="DZ40" s="265"/>
      <c r="EA40" s="265"/>
      <c r="EB40" s="265"/>
      <c r="EC40" s="265"/>
      <c r="ED40" s="265"/>
      <c r="EE40" s="265"/>
      <c r="EF40" s="265"/>
      <c r="EG40" s="265"/>
      <c r="EH40" s="265"/>
      <c r="EI40" s="265"/>
      <c r="EJ40" s="265"/>
    </row>
    <row r="41" spans="1:140" ht="22.5" customHeight="1">
      <c r="A41" s="273" t="s">
        <v>20</v>
      </c>
      <c r="B41" s="279" t="s">
        <v>204</v>
      </c>
      <c r="C41" s="279"/>
      <c r="D41" s="263">
        <f>'17-CK'!D25</f>
        <v>7209</v>
      </c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R41" s="265"/>
      <c r="CS41" s="265"/>
      <c r="CT41" s="265"/>
      <c r="CU41" s="26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265"/>
      <c r="DU41" s="265"/>
      <c r="DV41" s="265"/>
      <c r="DW41" s="265"/>
      <c r="DX41" s="265"/>
      <c r="DY41" s="265"/>
      <c r="DZ41" s="265"/>
      <c r="EA41" s="265"/>
      <c r="EB41" s="265"/>
      <c r="EC41" s="265"/>
      <c r="ED41" s="265"/>
      <c r="EE41" s="265"/>
      <c r="EF41" s="265"/>
      <c r="EG41" s="265"/>
      <c r="EH41" s="265"/>
      <c r="EI41" s="265"/>
      <c r="EJ41" s="265"/>
    </row>
    <row r="42" spans="1:140" s="282" customFormat="1" ht="23.25" customHeight="1">
      <c r="A42" s="280" t="s">
        <v>200</v>
      </c>
      <c r="B42" s="281" t="s">
        <v>140</v>
      </c>
      <c r="C42" s="104">
        <f>C43+C44</f>
        <v>84505</v>
      </c>
      <c r="D42" s="1">
        <f>D43+D44</f>
        <v>46435</v>
      </c>
    </row>
    <row r="43" spans="1:140" s="282" customFormat="1" ht="24.95" customHeight="1">
      <c r="A43" s="280" t="s">
        <v>12</v>
      </c>
      <c r="B43" s="281" t="s">
        <v>33</v>
      </c>
      <c r="C43" s="104"/>
      <c r="D43" s="1"/>
    </row>
    <row r="44" spans="1:140" s="282" customFormat="1" ht="24.95" customHeight="1">
      <c r="A44" s="280" t="s">
        <v>17</v>
      </c>
      <c r="B44" s="281" t="s">
        <v>34</v>
      </c>
      <c r="C44" s="104">
        <v>84505</v>
      </c>
      <c r="D44" s="1">
        <v>46435</v>
      </c>
    </row>
    <row r="46" spans="1:140">
      <c r="C46" s="284"/>
      <c r="D46" s="285"/>
    </row>
  </sheetData>
  <mergeCells count="9">
    <mergeCell ref="B8:C8"/>
    <mergeCell ref="B14:C14"/>
    <mergeCell ref="B27:C27"/>
    <mergeCell ref="B40:C40"/>
    <mergeCell ref="A2:D2"/>
    <mergeCell ref="A3:D3"/>
    <mergeCell ref="A4:D4"/>
    <mergeCell ref="B6:C6"/>
    <mergeCell ref="A7:C7"/>
  </mergeCells>
  <printOptions horizontalCentered="1"/>
  <pageMargins left="0.5" right="0.5" top="0.5" bottom="0.5" header="0.23622047244094499" footer="0.23622047244094499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"/>
  <sheetViews>
    <sheetView workbookViewId="0">
      <selection activeCell="R9" sqref="R9"/>
    </sheetView>
  </sheetViews>
  <sheetFormatPr defaultColWidth="7.140625" defaultRowHeight="12.75"/>
  <cols>
    <col min="1" max="1" width="8" style="40" customWidth="1"/>
    <col min="2" max="2" width="25.7109375" style="41" customWidth="1"/>
    <col min="3" max="3" width="13.5703125" style="42" customWidth="1"/>
    <col min="4" max="4" width="11.28515625" style="41" customWidth="1"/>
    <col min="5" max="5" width="12.5703125" style="230" customWidth="1"/>
    <col min="6" max="6" width="11.5703125" style="230" customWidth="1"/>
    <col min="7" max="7" width="11.42578125" style="41" customWidth="1"/>
    <col min="8" max="8" width="17.5703125" style="43" hidden="1" customWidth="1"/>
    <col min="9" max="9" width="12.42578125" style="43" hidden="1" customWidth="1"/>
    <col min="10" max="10" width="15.7109375" style="43" hidden="1" customWidth="1"/>
    <col min="11" max="11" width="12.7109375" style="41" customWidth="1"/>
    <col min="12" max="16384" width="7.140625" style="41"/>
  </cols>
  <sheetData>
    <row r="1" spans="1:13" s="46" customFormat="1" ht="39.75" customHeight="1">
      <c r="A1" s="409" t="s">
        <v>274</v>
      </c>
      <c r="B1" s="410"/>
      <c r="C1" s="410"/>
      <c r="D1" s="410"/>
      <c r="E1" s="410"/>
      <c r="F1" s="410"/>
      <c r="G1" s="410"/>
      <c r="H1" s="44"/>
      <c r="I1" s="45"/>
      <c r="J1" s="45"/>
    </row>
    <row r="2" spans="1:13" s="60" customFormat="1" ht="42" customHeight="1">
      <c r="A2" s="358" t="s">
        <v>296</v>
      </c>
      <c r="B2" s="358"/>
      <c r="C2" s="358"/>
      <c r="D2" s="358"/>
      <c r="E2" s="358"/>
      <c r="F2" s="358"/>
      <c r="G2" s="358"/>
      <c r="H2" s="115"/>
      <c r="I2" s="115"/>
      <c r="J2" s="62"/>
      <c r="K2" s="62"/>
      <c r="L2" s="62"/>
      <c r="M2" s="62"/>
    </row>
    <row r="3" spans="1:13" ht="26.25" customHeight="1">
      <c r="A3" s="411"/>
      <c r="B3" s="412"/>
      <c r="C3" s="47"/>
      <c r="D3" s="47"/>
      <c r="E3" s="422" t="s">
        <v>146</v>
      </c>
      <c r="F3" s="422"/>
      <c r="G3" s="422"/>
      <c r="H3" s="48"/>
    </row>
    <row r="4" spans="1:13" s="46" customFormat="1" ht="24.75" customHeight="1">
      <c r="A4" s="413" t="s">
        <v>21</v>
      </c>
      <c r="B4" s="416" t="s">
        <v>147</v>
      </c>
      <c r="C4" s="416" t="s">
        <v>176</v>
      </c>
      <c r="D4" s="417" t="s">
        <v>177</v>
      </c>
      <c r="E4" s="417"/>
      <c r="F4" s="417"/>
      <c r="G4" s="417"/>
      <c r="H4" s="429" t="s">
        <v>107</v>
      </c>
      <c r="I4" s="430"/>
      <c r="J4" s="430"/>
    </row>
    <row r="5" spans="1:13" ht="20.100000000000001" customHeight="1">
      <c r="A5" s="414"/>
      <c r="B5" s="416"/>
      <c r="C5" s="416" t="s">
        <v>148</v>
      </c>
      <c r="D5" s="413" t="s">
        <v>178</v>
      </c>
      <c r="E5" s="418" t="s">
        <v>149</v>
      </c>
      <c r="F5" s="421" t="s">
        <v>150</v>
      </c>
      <c r="G5" s="413" t="s">
        <v>151</v>
      </c>
      <c r="H5" s="423" t="s">
        <v>8</v>
      </c>
      <c r="I5" s="426" t="s">
        <v>94</v>
      </c>
      <c r="J5" s="426" t="s">
        <v>95</v>
      </c>
    </row>
    <row r="6" spans="1:13" s="49" customFormat="1" ht="20.100000000000001" customHeight="1">
      <c r="A6" s="414"/>
      <c r="B6" s="416"/>
      <c r="C6" s="416"/>
      <c r="D6" s="414"/>
      <c r="E6" s="419"/>
      <c r="F6" s="421"/>
      <c r="G6" s="414"/>
      <c r="H6" s="424"/>
      <c r="I6" s="427"/>
      <c r="J6" s="427"/>
    </row>
    <row r="7" spans="1:13" s="49" customFormat="1" ht="34.5" customHeight="1">
      <c r="A7" s="415"/>
      <c r="B7" s="416"/>
      <c r="C7" s="416"/>
      <c r="D7" s="415"/>
      <c r="E7" s="420"/>
      <c r="F7" s="421"/>
      <c r="G7" s="415"/>
      <c r="H7" s="425"/>
      <c r="I7" s="428"/>
      <c r="J7" s="428"/>
    </row>
    <row r="8" spans="1:13" s="53" customFormat="1" ht="30.75" customHeight="1">
      <c r="A8" s="50"/>
      <c r="B8" s="51" t="s">
        <v>152</v>
      </c>
      <c r="C8" s="52">
        <f t="shared" ref="C8:C18" si="0">SUM(D8:G8)</f>
        <v>6850</v>
      </c>
      <c r="D8" s="52">
        <f>SUM(D9:D18)</f>
        <v>5470</v>
      </c>
      <c r="E8" s="228">
        <f t="shared" ref="E8:J8" si="1">SUM(E9:E18)</f>
        <v>415</v>
      </c>
      <c r="F8" s="228">
        <f t="shared" si="1"/>
        <v>465</v>
      </c>
      <c r="G8" s="52">
        <f t="shared" si="1"/>
        <v>500</v>
      </c>
      <c r="H8" s="52" t="e">
        <f t="shared" si="1"/>
        <v>#REF!</v>
      </c>
      <c r="I8" s="52">
        <f t="shared" si="1"/>
        <v>3350</v>
      </c>
      <c r="J8" s="52" t="e">
        <f t="shared" si="1"/>
        <v>#REF!</v>
      </c>
    </row>
    <row r="9" spans="1:13" s="53" customFormat="1" ht="30.75" customHeight="1">
      <c r="A9" s="54">
        <v>1</v>
      </c>
      <c r="B9" s="55" t="s">
        <v>99</v>
      </c>
      <c r="C9" s="56">
        <f>SUM(D9:G9)</f>
        <v>3870</v>
      </c>
      <c r="D9" s="56">
        <v>3500</v>
      </c>
      <c r="E9" s="229">
        <v>80</v>
      </c>
      <c r="F9" s="229">
        <v>240</v>
      </c>
      <c r="G9" s="56">
        <v>50</v>
      </c>
      <c r="H9" s="57" t="e">
        <f>I9+J9</f>
        <v>#REF!</v>
      </c>
      <c r="I9" s="58">
        <f>G9+F9+E9</f>
        <v>370</v>
      </c>
      <c r="J9" s="57" t="e">
        <f>D9*0.5+#REF!*0.7</f>
        <v>#REF!</v>
      </c>
    </row>
    <row r="10" spans="1:13" s="53" customFormat="1" ht="30.75" customHeight="1">
      <c r="A10" s="54">
        <v>2</v>
      </c>
      <c r="B10" s="55" t="s">
        <v>100</v>
      </c>
      <c r="C10" s="56">
        <f t="shared" si="0"/>
        <v>220</v>
      </c>
      <c r="D10" s="56">
        <v>110</v>
      </c>
      <c r="E10" s="229">
        <v>45</v>
      </c>
      <c r="F10" s="229">
        <v>15</v>
      </c>
      <c r="G10" s="56">
        <v>50</v>
      </c>
      <c r="H10" s="57" t="e">
        <f t="shared" ref="H10:H18" si="2">I10+J10</f>
        <v>#REF!</v>
      </c>
      <c r="I10" s="58">
        <f t="shared" ref="I10:I18" si="3">D10+E10+F10+G10</f>
        <v>220</v>
      </c>
      <c r="J10" s="56" t="e">
        <f>#REF!*0.7</f>
        <v>#REF!</v>
      </c>
    </row>
    <row r="11" spans="1:13" s="53" customFormat="1" ht="30.75" customHeight="1">
      <c r="A11" s="54">
        <v>3</v>
      </c>
      <c r="B11" s="55" t="s">
        <v>101</v>
      </c>
      <c r="C11" s="56">
        <f t="shared" si="0"/>
        <v>650</v>
      </c>
      <c r="D11" s="56">
        <v>480</v>
      </c>
      <c r="E11" s="229">
        <v>65</v>
      </c>
      <c r="F11" s="229">
        <v>55</v>
      </c>
      <c r="G11" s="56">
        <v>50</v>
      </c>
      <c r="H11" s="57" t="e">
        <f t="shared" si="2"/>
        <v>#REF!</v>
      </c>
      <c r="I11" s="58">
        <f t="shared" si="3"/>
        <v>650</v>
      </c>
      <c r="J11" s="56" t="e">
        <f>#REF!*0.7</f>
        <v>#REF!</v>
      </c>
    </row>
    <row r="12" spans="1:13" s="53" customFormat="1" ht="30.75" customHeight="1">
      <c r="A12" s="54">
        <v>4</v>
      </c>
      <c r="B12" s="55" t="s">
        <v>102</v>
      </c>
      <c r="C12" s="56">
        <f t="shared" si="0"/>
        <v>340</v>
      </c>
      <c r="D12" s="56">
        <v>235</v>
      </c>
      <c r="E12" s="229">
        <v>35</v>
      </c>
      <c r="F12" s="229">
        <v>20</v>
      </c>
      <c r="G12" s="56">
        <v>50</v>
      </c>
      <c r="H12" s="57" t="e">
        <f t="shared" si="2"/>
        <v>#REF!</v>
      </c>
      <c r="I12" s="58">
        <f t="shared" si="3"/>
        <v>340</v>
      </c>
      <c r="J12" s="56" t="e">
        <f>#REF!*0.7</f>
        <v>#REF!</v>
      </c>
    </row>
    <row r="13" spans="1:13" s="53" customFormat="1" ht="30.75" customHeight="1">
      <c r="A13" s="54">
        <v>5</v>
      </c>
      <c r="B13" s="55" t="s">
        <v>103</v>
      </c>
      <c r="C13" s="56">
        <f t="shared" si="0"/>
        <v>270</v>
      </c>
      <c r="D13" s="56">
        <v>160</v>
      </c>
      <c r="E13" s="229">
        <v>40</v>
      </c>
      <c r="F13" s="229">
        <v>20</v>
      </c>
      <c r="G13" s="56">
        <v>50</v>
      </c>
      <c r="H13" s="57" t="e">
        <f t="shared" si="2"/>
        <v>#REF!</v>
      </c>
      <c r="I13" s="58">
        <f t="shared" si="3"/>
        <v>270</v>
      </c>
      <c r="J13" s="56" t="e">
        <f>#REF!*0.7</f>
        <v>#REF!</v>
      </c>
    </row>
    <row r="14" spans="1:13" s="53" customFormat="1" ht="30.75" customHeight="1">
      <c r="A14" s="54">
        <v>6</v>
      </c>
      <c r="B14" s="55" t="s">
        <v>294</v>
      </c>
      <c r="C14" s="56">
        <f t="shared" si="0"/>
        <v>425</v>
      </c>
      <c r="D14" s="56">
        <v>290</v>
      </c>
      <c r="E14" s="229">
        <v>40</v>
      </c>
      <c r="F14" s="229">
        <v>45</v>
      </c>
      <c r="G14" s="56">
        <v>50</v>
      </c>
      <c r="H14" s="57" t="e">
        <f t="shared" si="2"/>
        <v>#REF!</v>
      </c>
      <c r="I14" s="58">
        <f t="shared" si="3"/>
        <v>425</v>
      </c>
      <c r="J14" s="56" t="e">
        <f>#REF!*0.7</f>
        <v>#REF!</v>
      </c>
    </row>
    <row r="15" spans="1:13" s="53" customFormat="1" ht="30.75" customHeight="1">
      <c r="A15" s="54">
        <v>7</v>
      </c>
      <c r="B15" s="55" t="s">
        <v>104</v>
      </c>
      <c r="C15" s="56">
        <f t="shared" si="0"/>
        <v>375</v>
      </c>
      <c r="D15" s="56">
        <v>265</v>
      </c>
      <c r="E15" s="229">
        <v>30</v>
      </c>
      <c r="F15" s="229">
        <v>30</v>
      </c>
      <c r="G15" s="56">
        <v>50</v>
      </c>
      <c r="H15" s="57" t="e">
        <f t="shared" si="2"/>
        <v>#REF!</v>
      </c>
      <c r="I15" s="58">
        <f t="shared" si="3"/>
        <v>375</v>
      </c>
      <c r="J15" s="56" t="e">
        <f>#REF!*0.7</f>
        <v>#REF!</v>
      </c>
    </row>
    <row r="16" spans="1:13" s="53" customFormat="1" ht="30.75" customHeight="1">
      <c r="A16" s="54">
        <v>8</v>
      </c>
      <c r="B16" s="55" t="s">
        <v>241</v>
      </c>
      <c r="C16" s="56">
        <f t="shared" si="0"/>
        <v>255</v>
      </c>
      <c r="D16" s="56">
        <v>155</v>
      </c>
      <c r="E16" s="229">
        <v>35</v>
      </c>
      <c r="F16" s="229">
        <v>15</v>
      </c>
      <c r="G16" s="56">
        <v>50</v>
      </c>
      <c r="H16" s="57" t="e">
        <f t="shared" si="2"/>
        <v>#REF!</v>
      </c>
      <c r="I16" s="58">
        <f t="shared" si="3"/>
        <v>255</v>
      </c>
      <c r="J16" s="56" t="e">
        <f>#REF!*0.7</f>
        <v>#REF!</v>
      </c>
    </row>
    <row r="17" spans="1:10" s="53" customFormat="1" ht="30.75" customHeight="1">
      <c r="A17" s="54">
        <v>9</v>
      </c>
      <c r="B17" s="55" t="s">
        <v>105</v>
      </c>
      <c r="C17" s="56">
        <f t="shared" si="0"/>
        <v>265</v>
      </c>
      <c r="D17" s="56">
        <v>175</v>
      </c>
      <c r="E17" s="229">
        <v>25</v>
      </c>
      <c r="F17" s="229">
        <v>15</v>
      </c>
      <c r="G17" s="56">
        <v>50</v>
      </c>
      <c r="H17" s="57" t="e">
        <f t="shared" si="2"/>
        <v>#REF!</v>
      </c>
      <c r="I17" s="58">
        <f t="shared" si="3"/>
        <v>265</v>
      </c>
      <c r="J17" s="56" t="e">
        <f>#REF!*0.7</f>
        <v>#REF!</v>
      </c>
    </row>
    <row r="18" spans="1:10" s="53" customFormat="1" ht="30.75" customHeight="1">
      <c r="A18" s="54">
        <v>10</v>
      </c>
      <c r="B18" s="55" t="s">
        <v>106</v>
      </c>
      <c r="C18" s="56">
        <f t="shared" si="0"/>
        <v>180</v>
      </c>
      <c r="D18" s="56">
        <v>100</v>
      </c>
      <c r="E18" s="229">
        <v>20</v>
      </c>
      <c r="F18" s="229">
        <v>10</v>
      </c>
      <c r="G18" s="56">
        <v>50</v>
      </c>
      <c r="H18" s="57" t="e">
        <f t="shared" si="2"/>
        <v>#REF!</v>
      </c>
      <c r="I18" s="58">
        <f t="shared" si="3"/>
        <v>180</v>
      </c>
      <c r="J18" s="56" t="e">
        <f>#REF!*0.7</f>
        <v>#REF!</v>
      </c>
    </row>
    <row r="21" spans="1:10">
      <c r="D21" s="59"/>
    </row>
  </sheetData>
  <mergeCells count="16">
    <mergeCell ref="H5:H7"/>
    <mergeCell ref="I5:I7"/>
    <mergeCell ref="J5:J7"/>
    <mergeCell ref="H4:J4"/>
    <mergeCell ref="D5:D7"/>
    <mergeCell ref="A1:G1"/>
    <mergeCell ref="A2:G2"/>
    <mergeCell ref="A3:B3"/>
    <mergeCell ref="A4:A7"/>
    <mergeCell ref="B4:B7"/>
    <mergeCell ref="C4:C7"/>
    <mergeCell ref="D4:G4"/>
    <mergeCell ref="E5:E7"/>
    <mergeCell ref="F5:F7"/>
    <mergeCell ref="G5:G7"/>
    <mergeCell ref="E3:G3"/>
  </mergeCells>
  <printOptions horizontalCentered="1"/>
  <pageMargins left="0.5" right="0.5" top="0.5" bottom="0.5" header="0.31496062992126" footer="0.31496062992126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78"/>
  <sheetViews>
    <sheetView topLeftCell="A72" workbookViewId="0">
      <selection activeCell="S13" sqref="S13"/>
    </sheetView>
  </sheetViews>
  <sheetFormatPr defaultColWidth="9.140625" defaultRowHeight="18" customHeight="1"/>
  <cols>
    <col min="1" max="1" width="6.28515625" style="84" customWidth="1"/>
    <col min="2" max="2" width="45.5703125" style="84" customWidth="1"/>
    <col min="3" max="3" width="9.7109375" style="85" customWidth="1"/>
    <col min="4" max="4" width="9.140625" style="84" customWidth="1"/>
    <col min="5" max="5" width="6.85546875" style="84" customWidth="1"/>
    <col min="6" max="6" width="6.5703125" style="84" customWidth="1"/>
    <col min="7" max="7" width="11" style="84" customWidth="1"/>
    <col min="8" max="8" width="0.140625" style="84" customWidth="1"/>
    <col min="9" max="9" width="9.140625" style="84" customWidth="1"/>
    <col min="10" max="10" width="7.7109375" style="84" customWidth="1"/>
    <col min="11" max="11" width="9.140625" style="84" customWidth="1"/>
    <col min="12" max="12" width="8.85546875" style="84" customWidth="1"/>
    <col min="13" max="13" width="7.42578125" style="84" customWidth="1"/>
    <col min="14" max="14" width="8.28515625" style="84" customWidth="1"/>
    <col min="15" max="15" width="7.7109375" style="84" customWidth="1"/>
    <col min="16" max="16" width="9.42578125" style="84" customWidth="1"/>
    <col min="17" max="17" width="9.140625" style="84"/>
    <col min="18" max="18" width="13.140625" style="84" customWidth="1"/>
    <col min="19" max="16384" width="9.140625" style="84"/>
  </cols>
  <sheetData>
    <row r="1" spans="1:16" ht="18" customHeight="1">
      <c r="A1" s="293"/>
      <c r="B1" s="293"/>
      <c r="C1" s="294"/>
      <c r="D1" s="293"/>
      <c r="E1" s="293"/>
      <c r="F1" s="293"/>
      <c r="G1" s="293"/>
      <c r="H1" s="293"/>
      <c r="I1" s="293"/>
      <c r="J1" s="293"/>
      <c r="K1" s="293"/>
      <c r="L1" s="293"/>
      <c r="M1" s="338" t="s">
        <v>189</v>
      </c>
      <c r="N1" s="338"/>
      <c r="O1" s="338"/>
      <c r="P1" s="338"/>
    </row>
    <row r="2" spans="1:16" s="86" customFormat="1" ht="18.75">
      <c r="A2" s="339" t="s">
        <v>273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295"/>
    </row>
    <row r="3" spans="1:16" s="201" customFormat="1" ht="25.5" customHeight="1">
      <c r="A3" s="340" t="s">
        <v>285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</row>
    <row r="4" spans="1:16" s="86" customFormat="1" ht="18.75" hidden="1">
      <c r="A4" s="341" t="s">
        <v>212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5" spans="1:16" s="87" customFormat="1" ht="24" hidden="1" customHeight="1">
      <c r="A5" s="341" t="s">
        <v>153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ht="22.5" customHeight="1">
      <c r="A6" s="293"/>
      <c r="B6" s="293"/>
      <c r="C6" s="296"/>
      <c r="D6" s="293"/>
      <c r="E6" s="293"/>
      <c r="F6" s="293"/>
      <c r="G6" s="293"/>
      <c r="H6" s="293"/>
      <c r="I6" s="297"/>
      <c r="J6" s="297"/>
      <c r="K6" s="293"/>
      <c r="L6" s="293"/>
      <c r="M6" s="342" t="s">
        <v>240</v>
      </c>
      <c r="N6" s="342"/>
      <c r="O6" s="342"/>
      <c r="P6" s="342"/>
    </row>
    <row r="7" spans="1:16" ht="26.25" customHeight="1">
      <c r="A7" s="333" t="s">
        <v>21</v>
      </c>
      <c r="B7" s="333" t="s">
        <v>23</v>
      </c>
      <c r="C7" s="333" t="s">
        <v>62</v>
      </c>
      <c r="D7" s="343" t="s">
        <v>119</v>
      </c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5"/>
    </row>
    <row r="8" spans="1:16" s="85" customFormat="1" ht="24" customHeight="1">
      <c r="A8" s="333"/>
      <c r="B8" s="333"/>
      <c r="C8" s="333"/>
      <c r="D8" s="333" t="s">
        <v>163</v>
      </c>
      <c r="E8" s="333" t="s">
        <v>157</v>
      </c>
      <c r="F8" s="333" t="s">
        <v>166</v>
      </c>
      <c r="G8" s="333" t="s">
        <v>262</v>
      </c>
      <c r="H8" s="333" t="s">
        <v>120</v>
      </c>
      <c r="I8" s="333" t="s">
        <v>121</v>
      </c>
      <c r="J8" s="333" t="s">
        <v>115</v>
      </c>
      <c r="K8" s="334" t="s">
        <v>112</v>
      </c>
      <c r="L8" s="334"/>
      <c r="M8" s="333" t="s">
        <v>184</v>
      </c>
      <c r="N8" s="335" t="s">
        <v>142</v>
      </c>
      <c r="O8" s="333" t="s">
        <v>114</v>
      </c>
      <c r="P8" s="333" t="s">
        <v>185</v>
      </c>
    </row>
    <row r="9" spans="1:16" s="85" customFormat="1" ht="14.25">
      <c r="A9" s="333"/>
      <c r="B9" s="333"/>
      <c r="C9" s="333"/>
      <c r="D9" s="333"/>
      <c r="E9" s="333"/>
      <c r="F9" s="333"/>
      <c r="G9" s="333"/>
      <c r="H9" s="333"/>
      <c r="I9" s="333"/>
      <c r="J9" s="333"/>
      <c r="K9" s="333" t="s">
        <v>122</v>
      </c>
      <c r="L9" s="333" t="s">
        <v>113</v>
      </c>
      <c r="M9" s="333"/>
      <c r="N9" s="336"/>
      <c r="O9" s="333"/>
      <c r="P9" s="333"/>
    </row>
    <row r="10" spans="1:16" s="85" customFormat="1" ht="123" customHeight="1">
      <c r="A10" s="333"/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7"/>
      <c r="O10" s="333"/>
      <c r="P10" s="333"/>
    </row>
    <row r="11" spans="1:16" s="88" customFormat="1" ht="23.25" customHeight="1">
      <c r="A11" s="298" t="s">
        <v>10</v>
      </c>
      <c r="B11" s="298" t="s">
        <v>11</v>
      </c>
      <c r="C11" s="299">
        <v>1</v>
      </c>
      <c r="D11" s="298">
        <v>2</v>
      </c>
      <c r="E11" s="300">
        <v>3</v>
      </c>
      <c r="F11" s="298">
        <v>4</v>
      </c>
      <c r="G11" s="300">
        <v>5</v>
      </c>
      <c r="H11" s="300">
        <v>7</v>
      </c>
      <c r="I11" s="298">
        <v>7</v>
      </c>
      <c r="J11" s="298">
        <v>8</v>
      </c>
      <c r="K11" s="298">
        <v>9</v>
      </c>
      <c r="L11" s="298">
        <v>10</v>
      </c>
      <c r="M11" s="298">
        <v>11</v>
      </c>
      <c r="N11" s="298">
        <v>12</v>
      </c>
      <c r="O11" s="298">
        <v>13</v>
      </c>
      <c r="P11" s="298">
        <v>14</v>
      </c>
    </row>
    <row r="12" spans="1:16" s="85" customFormat="1" ht="25.15" customHeight="1">
      <c r="A12" s="301" t="s">
        <v>12</v>
      </c>
      <c r="B12" s="301" t="s">
        <v>123</v>
      </c>
      <c r="C12" s="302">
        <f>SUM(D12:P12)-K12-L12</f>
        <v>483065</v>
      </c>
      <c r="D12" s="302">
        <f>SUM(D13:D66)-D15</f>
        <v>327296</v>
      </c>
      <c r="E12" s="302">
        <f>SUM(E13:E66)-E15</f>
        <v>6588</v>
      </c>
      <c r="F12" s="302">
        <f>SUM(F13:F66)-F15</f>
        <v>2227</v>
      </c>
      <c r="G12" s="302">
        <f t="shared" ref="G12:L12" si="0">SUM(G13:G66)-G15</f>
        <v>3856</v>
      </c>
      <c r="H12" s="302">
        <f t="shared" si="0"/>
        <v>0</v>
      </c>
      <c r="I12" s="302">
        <f t="shared" si="0"/>
        <v>8212</v>
      </c>
      <c r="J12" s="302">
        <f>SUM(J13:J66)-J15</f>
        <v>49136</v>
      </c>
      <c r="K12" s="302">
        <f t="shared" si="0"/>
        <v>3000</v>
      </c>
      <c r="L12" s="302">
        <f t="shared" si="0"/>
        <v>600</v>
      </c>
      <c r="M12" s="302">
        <f>M15+M21+M22+M25+M26+M27+M28+M31+M32+M35+M36+M39+M40+M42+M43+M44+M45+M46+M47+M48+M49+M50+M51+M52+M53+M61+M62+M63+M64+M66</f>
        <v>38045</v>
      </c>
      <c r="N12" s="302">
        <f>N55+N60+N57+N58+N59</f>
        <v>3125</v>
      </c>
      <c r="O12" s="302">
        <f>SUM(O13:O66)-O15</f>
        <v>43580</v>
      </c>
      <c r="P12" s="302">
        <f>SUM(P13:P66)-P15</f>
        <v>1000</v>
      </c>
    </row>
    <row r="13" spans="1:16" ht="35.1" customHeight="1">
      <c r="A13" s="303">
        <v>1</v>
      </c>
      <c r="B13" s="304" t="s">
        <v>165</v>
      </c>
      <c r="C13" s="305">
        <f t="shared" ref="C13:C44" si="1">SUM(D13:P13)</f>
        <v>2809</v>
      </c>
      <c r="D13" s="305"/>
      <c r="E13" s="305">
        <v>2809</v>
      </c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</row>
    <row r="14" spans="1:16" ht="21.95" customHeight="1">
      <c r="A14" s="303">
        <v>2</v>
      </c>
      <c r="B14" s="306" t="s">
        <v>261</v>
      </c>
      <c r="C14" s="305">
        <f t="shared" si="1"/>
        <v>3373</v>
      </c>
      <c r="D14" s="305"/>
      <c r="E14" s="305"/>
      <c r="F14" s="305"/>
      <c r="G14" s="305">
        <f>1728+900+745</f>
        <v>3373</v>
      </c>
      <c r="H14" s="305"/>
      <c r="I14" s="305"/>
      <c r="J14" s="305"/>
      <c r="K14" s="305"/>
      <c r="L14" s="305"/>
      <c r="M14" s="305"/>
      <c r="N14" s="305"/>
      <c r="O14" s="305"/>
      <c r="P14" s="305"/>
    </row>
    <row r="15" spans="1:16" ht="21.95" customHeight="1">
      <c r="A15" s="303">
        <v>4</v>
      </c>
      <c r="B15" s="306" t="s">
        <v>164</v>
      </c>
      <c r="C15" s="305">
        <f>SUM(D15:P15)</f>
        <v>6260</v>
      </c>
      <c r="D15" s="302"/>
      <c r="E15" s="302"/>
      <c r="F15" s="302"/>
      <c r="G15" s="302"/>
      <c r="H15" s="302"/>
      <c r="I15" s="302"/>
      <c r="J15" s="302"/>
      <c r="K15" s="302"/>
      <c r="L15" s="302"/>
      <c r="M15" s="305">
        <f>M16+M17+M18+M19+M20</f>
        <v>6260</v>
      </c>
      <c r="N15" s="305">
        <f>SUM(O15:Q15)</f>
        <v>0</v>
      </c>
      <c r="O15" s="305">
        <f>SUM(P15:R15)</f>
        <v>0</v>
      </c>
      <c r="P15" s="305">
        <f>SUM(Q15:S15)</f>
        <v>0</v>
      </c>
    </row>
    <row r="16" spans="1:16" ht="21.95" customHeight="1">
      <c r="A16" s="307" t="s">
        <v>132</v>
      </c>
      <c r="B16" s="306" t="s">
        <v>158</v>
      </c>
      <c r="C16" s="305">
        <f t="shared" si="1"/>
        <v>3730</v>
      </c>
      <c r="D16" s="305"/>
      <c r="E16" s="305"/>
      <c r="F16" s="305"/>
      <c r="G16" s="305"/>
      <c r="H16" s="305"/>
      <c r="I16" s="305"/>
      <c r="J16" s="305"/>
      <c r="K16" s="305"/>
      <c r="L16" s="305"/>
      <c r="M16" s="305">
        <f>2684+1035+11</f>
        <v>3730</v>
      </c>
      <c r="N16" s="305"/>
      <c r="O16" s="305"/>
      <c r="P16" s="305"/>
    </row>
    <row r="17" spans="1:18" ht="21.95" customHeight="1">
      <c r="A17" s="307" t="s">
        <v>132</v>
      </c>
      <c r="B17" s="306" t="s">
        <v>210</v>
      </c>
      <c r="C17" s="305">
        <f t="shared" si="1"/>
        <v>800</v>
      </c>
      <c r="D17" s="305"/>
      <c r="E17" s="305"/>
      <c r="F17" s="305"/>
      <c r="G17" s="305"/>
      <c r="H17" s="305"/>
      <c r="I17" s="305"/>
      <c r="J17" s="305"/>
      <c r="K17" s="305"/>
      <c r="L17" s="305"/>
      <c r="M17" s="305">
        <v>800</v>
      </c>
      <c r="N17" s="305"/>
      <c r="O17" s="305"/>
      <c r="P17" s="305"/>
    </row>
    <row r="18" spans="1:18" ht="21.95" customHeight="1">
      <c r="A18" s="307" t="s">
        <v>132</v>
      </c>
      <c r="B18" s="306" t="s">
        <v>211</v>
      </c>
      <c r="C18" s="305">
        <f t="shared" si="1"/>
        <v>1072</v>
      </c>
      <c r="D18" s="305"/>
      <c r="E18" s="305"/>
      <c r="F18" s="305"/>
      <c r="G18" s="305"/>
      <c r="H18" s="305"/>
      <c r="I18" s="305"/>
      <c r="J18" s="305"/>
      <c r="K18" s="305"/>
      <c r="L18" s="305"/>
      <c r="M18" s="305">
        <f>244+578+250</f>
        <v>1072</v>
      </c>
      <c r="N18" s="305"/>
      <c r="O18" s="305"/>
      <c r="P18" s="305"/>
    </row>
    <row r="19" spans="1:18" ht="35.25" customHeight="1">
      <c r="A19" s="307" t="s">
        <v>132</v>
      </c>
      <c r="B19" s="304" t="s">
        <v>217</v>
      </c>
      <c r="C19" s="305">
        <f t="shared" si="1"/>
        <v>180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>
        <f>50+130</f>
        <v>180</v>
      </c>
      <c r="N19" s="305"/>
      <c r="O19" s="305"/>
      <c r="P19" s="305"/>
    </row>
    <row r="20" spans="1:18" ht="24.75" customHeight="1">
      <c r="A20" s="307" t="s">
        <v>132</v>
      </c>
      <c r="B20" s="304" t="s">
        <v>245</v>
      </c>
      <c r="C20" s="305">
        <f t="shared" si="1"/>
        <v>478</v>
      </c>
      <c r="D20" s="305"/>
      <c r="E20" s="305"/>
      <c r="F20" s="305"/>
      <c r="G20" s="305"/>
      <c r="H20" s="305"/>
      <c r="I20" s="305"/>
      <c r="J20" s="305"/>
      <c r="K20" s="305"/>
      <c r="L20" s="305"/>
      <c r="M20" s="305">
        <v>478</v>
      </c>
      <c r="N20" s="305"/>
      <c r="O20" s="305"/>
      <c r="P20" s="305"/>
    </row>
    <row r="21" spans="1:18" ht="21.95" customHeight="1">
      <c r="A21" s="307">
        <v>5</v>
      </c>
      <c r="B21" s="306" t="s">
        <v>213</v>
      </c>
      <c r="C21" s="305">
        <f>SUM(D21:P21)</f>
        <v>1959</v>
      </c>
      <c r="D21" s="305"/>
      <c r="E21" s="305"/>
      <c r="F21" s="305"/>
      <c r="G21" s="305"/>
      <c r="H21" s="305"/>
      <c r="I21" s="305"/>
      <c r="J21" s="305"/>
      <c r="K21" s="305"/>
      <c r="L21" s="305"/>
      <c r="M21" s="305">
        <f>1129+30</f>
        <v>1159</v>
      </c>
      <c r="N21" s="305"/>
      <c r="O21" s="305"/>
      <c r="P21" s="305">
        <v>800</v>
      </c>
    </row>
    <row r="22" spans="1:18" ht="23.25" customHeight="1">
      <c r="A22" s="307">
        <v>6</v>
      </c>
      <c r="B22" s="304" t="s">
        <v>286</v>
      </c>
      <c r="C22" s="305">
        <f>SUM(D22:P22)</f>
        <v>44803</v>
      </c>
      <c r="D22" s="305"/>
      <c r="E22" s="305"/>
      <c r="F22" s="305"/>
      <c r="G22" s="305"/>
      <c r="H22" s="305"/>
      <c r="I22" s="305"/>
      <c r="J22" s="305"/>
      <c r="K22" s="305"/>
      <c r="L22" s="305"/>
      <c r="M22" s="305">
        <f>M23+M24</f>
        <v>1223</v>
      </c>
      <c r="N22" s="305"/>
      <c r="O22" s="305">
        <v>43580</v>
      </c>
      <c r="P22" s="305"/>
    </row>
    <row r="23" spans="1:18" ht="21.95" customHeight="1">
      <c r="A23" s="307" t="s">
        <v>132</v>
      </c>
      <c r="B23" s="306" t="s">
        <v>158</v>
      </c>
      <c r="C23" s="305">
        <f t="shared" si="1"/>
        <v>1171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>
        <v>1171</v>
      </c>
      <c r="N23" s="305"/>
      <c r="O23" s="305"/>
      <c r="P23" s="305"/>
    </row>
    <row r="24" spans="1:18" ht="31.5" customHeight="1">
      <c r="A24" s="307" t="s">
        <v>132</v>
      </c>
      <c r="B24" s="304" t="s">
        <v>245</v>
      </c>
      <c r="C24" s="305">
        <f t="shared" si="1"/>
        <v>52</v>
      </c>
      <c r="D24" s="305"/>
      <c r="E24" s="305"/>
      <c r="F24" s="305"/>
      <c r="G24" s="305"/>
      <c r="H24" s="305"/>
      <c r="I24" s="305"/>
      <c r="J24" s="305"/>
      <c r="K24" s="305"/>
      <c r="L24" s="305"/>
      <c r="M24" s="305">
        <v>52</v>
      </c>
      <c r="N24" s="305"/>
      <c r="O24" s="305"/>
      <c r="P24" s="305"/>
    </row>
    <row r="25" spans="1:18" ht="21.95" customHeight="1">
      <c r="A25" s="307">
        <v>7</v>
      </c>
      <c r="B25" s="304" t="s">
        <v>214</v>
      </c>
      <c r="C25" s="305">
        <f t="shared" si="1"/>
        <v>603</v>
      </c>
      <c r="D25" s="305"/>
      <c r="E25" s="305"/>
      <c r="F25" s="305"/>
      <c r="G25" s="305"/>
      <c r="H25" s="305"/>
      <c r="I25" s="305"/>
      <c r="J25" s="305"/>
      <c r="K25" s="305"/>
      <c r="L25" s="305"/>
      <c r="M25" s="305">
        <f>573+30</f>
        <v>603</v>
      </c>
      <c r="N25" s="305"/>
      <c r="O25" s="305"/>
      <c r="P25" s="305"/>
    </row>
    <row r="26" spans="1:18" ht="21.95" customHeight="1">
      <c r="A26" s="307">
        <v>8</v>
      </c>
      <c r="B26" s="306" t="s">
        <v>218</v>
      </c>
      <c r="C26" s="305">
        <f t="shared" si="1"/>
        <v>952</v>
      </c>
      <c r="D26" s="305"/>
      <c r="E26" s="305"/>
      <c r="F26" s="305"/>
      <c r="G26" s="305"/>
      <c r="H26" s="305"/>
      <c r="I26" s="305"/>
      <c r="J26" s="305"/>
      <c r="K26" s="305"/>
      <c r="L26" s="305"/>
      <c r="M26" s="305">
        <v>952</v>
      </c>
      <c r="N26" s="305"/>
      <c r="O26" s="305"/>
      <c r="P26" s="305"/>
    </row>
    <row r="27" spans="1:18" ht="23.25" customHeight="1">
      <c r="A27" s="307">
        <v>9</v>
      </c>
      <c r="B27" s="304" t="s">
        <v>219</v>
      </c>
      <c r="C27" s="305">
        <f t="shared" si="1"/>
        <v>1754</v>
      </c>
      <c r="D27" s="305"/>
      <c r="E27" s="305"/>
      <c r="F27" s="305"/>
      <c r="G27" s="305"/>
      <c r="H27" s="305"/>
      <c r="I27" s="305"/>
      <c r="J27" s="305"/>
      <c r="K27" s="305"/>
      <c r="L27" s="305"/>
      <c r="M27" s="305">
        <f>1215+39+500</f>
        <v>1754</v>
      </c>
      <c r="N27" s="305"/>
      <c r="O27" s="305"/>
      <c r="P27" s="305"/>
    </row>
    <row r="28" spans="1:18" ht="24" customHeight="1">
      <c r="A28" s="307">
        <v>10</v>
      </c>
      <c r="B28" s="304" t="s">
        <v>220</v>
      </c>
      <c r="C28" s="305">
        <f>SUM(D28:P28)-L28</f>
        <v>2169</v>
      </c>
      <c r="D28" s="305"/>
      <c r="E28" s="305"/>
      <c r="F28" s="305"/>
      <c r="G28" s="305"/>
      <c r="H28" s="305"/>
      <c r="I28" s="305"/>
      <c r="J28" s="305">
        <v>600</v>
      </c>
      <c r="K28" s="305"/>
      <c r="L28" s="305">
        <v>600</v>
      </c>
      <c r="M28" s="305">
        <f>M29+M30</f>
        <v>1569</v>
      </c>
      <c r="N28" s="305"/>
      <c r="O28" s="305"/>
      <c r="P28" s="305"/>
      <c r="Q28" s="287"/>
    </row>
    <row r="29" spans="1:18" ht="24" customHeight="1">
      <c r="A29" s="307" t="s">
        <v>132</v>
      </c>
      <c r="B29" s="306" t="s">
        <v>158</v>
      </c>
      <c r="C29" s="305">
        <f t="shared" si="1"/>
        <v>1441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>
        <v>1441</v>
      </c>
      <c r="N29" s="305"/>
      <c r="O29" s="305"/>
      <c r="P29" s="305"/>
      <c r="R29" s="287"/>
    </row>
    <row r="30" spans="1:18" ht="24" customHeight="1">
      <c r="A30" s="307" t="s">
        <v>132</v>
      </c>
      <c r="B30" s="304" t="s">
        <v>245</v>
      </c>
      <c r="C30" s="305">
        <f t="shared" si="1"/>
        <v>128</v>
      </c>
      <c r="D30" s="305"/>
      <c r="E30" s="305"/>
      <c r="F30" s="305"/>
      <c r="G30" s="305"/>
      <c r="H30" s="305"/>
      <c r="I30" s="305"/>
      <c r="J30" s="305"/>
      <c r="K30" s="305"/>
      <c r="L30" s="305"/>
      <c r="M30" s="305">
        <v>128</v>
      </c>
      <c r="N30" s="305"/>
      <c r="O30" s="305"/>
      <c r="P30" s="305"/>
    </row>
    <row r="31" spans="1:18" ht="24" customHeight="1">
      <c r="A31" s="307">
        <v>11</v>
      </c>
      <c r="B31" s="304" t="s">
        <v>221</v>
      </c>
      <c r="C31" s="305">
        <f>SUM(D31:P31)</f>
        <v>8873</v>
      </c>
      <c r="D31" s="305"/>
      <c r="E31" s="305"/>
      <c r="F31" s="305"/>
      <c r="G31" s="305"/>
      <c r="H31" s="305"/>
      <c r="I31" s="305">
        <f>9124-912</f>
        <v>8212</v>
      </c>
      <c r="J31" s="305"/>
      <c r="K31" s="305"/>
      <c r="L31" s="305"/>
      <c r="M31" s="305">
        <v>661</v>
      </c>
      <c r="N31" s="305"/>
      <c r="O31" s="305"/>
      <c r="P31" s="305"/>
    </row>
    <row r="32" spans="1:18" ht="23.25" customHeight="1">
      <c r="A32" s="307">
        <v>12</v>
      </c>
      <c r="B32" s="304" t="s">
        <v>222</v>
      </c>
      <c r="C32" s="305">
        <f>SUM(D32:P32)</f>
        <v>936</v>
      </c>
      <c r="D32" s="305"/>
      <c r="E32" s="305"/>
      <c r="F32" s="305"/>
      <c r="G32" s="305"/>
      <c r="H32" s="305"/>
      <c r="I32" s="305"/>
      <c r="J32" s="305"/>
      <c r="K32" s="305"/>
      <c r="L32" s="305"/>
      <c r="M32" s="305">
        <f>M33+M34</f>
        <v>936</v>
      </c>
      <c r="N32" s="305"/>
      <c r="O32" s="305"/>
      <c r="P32" s="305"/>
    </row>
    <row r="33" spans="1:19" ht="23.25" customHeight="1">
      <c r="A33" s="307" t="s">
        <v>132</v>
      </c>
      <c r="B33" s="306" t="s">
        <v>158</v>
      </c>
      <c r="C33" s="305">
        <f t="shared" si="1"/>
        <v>880</v>
      </c>
      <c r="D33" s="305"/>
      <c r="E33" s="305"/>
      <c r="F33" s="305"/>
      <c r="G33" s="305"/>
      <c r="H33" s="305"/>
      <c r="I33" s="305"/>
      <c r="J33" s="305"/>
      <c r="K33" s="305"/>
      <c r="L33" s="305"/>
      <c r="M33" s="305">
        <f>839+30+11</f>
        <v>880</v>
      </c>
      <c r="N33" s="305"/>
      <c r="O33" s="305"/>
      <c r="P33" s="305"/>
    </row>
    <row r="34" spans="1:19" ht="24" customHeight="1">
      <c r="A34" s="307" t="s">
        <v>132</v>
      </c>
      <c r="B34" s="304" t="s">
        <v>245</v>
      </c>
      <c r="C34" s="305">
        <f t="shared" si="1"/>
        <v>56</v>
      </c>
      <c r="D34" s="305"/>
      <c r="E34" s="305"/>
      <c r="F34" s="305"/>
      <c r="G34" s="305"/>
      <c r="H34" s="305"/>
      <c r="I34" s="305"/>
      <c r="J34" s="305"/>
      <c r="K34" s="305"/>
      <c r="L34" s="305"/>
      <c r="M34" s="305">
        <v>56</v>
      </c>
      <c r="N34" s="305"/>
      <c r="O34" s="305"/>
      <c r="P34" s="305"/>
    </row>
    <row r="35" spans="1:19" ht="23.25" customHeight="1">
      <c r="A35" s="307">
        <v>13</v>
      </c>
      <c r="B35" s="304" t="s">
        <v>223</v>
      </c>
      <c r="C35" s="305">
        <f>SUM(D35:P35)</f>
        <v>328610</v>
      </c>
      <c r="D35" s="305">
        <f>329916-2620</f>
        <v>327296</v>
      </c>
      <c r="E35" s="305"/>
      <c r="F35" s="305"/>
      <c r="G35" s="305"/>
      <c r="H35" s="305"/>
      <c r="I35" s="305"/>
      <c r="J35" s="305"/>
      <c r="K35" s="305"/>
      <c r="L35" s="305"/>
      <c r="M35" s="305">
        <v>1314</v>
      </c>
      <c r="N35" s="305"/>
      <c r="O35" s="305"/>
      <c r="P35" s="305"/>
    </row>
    <row r="36" spans="1:19" ht="23.25" customHeight="1">
      <c r="A36" s="307">
        <v>14</v>
      </c>
      <c r="B36" s="304" t="s">
        <v>224</v>
      </c>
      <c r="C36" s="305">
        <f>SUM(D36:P36)-K36</f>
        <v>3752</v>
      </c>
      <c r="D36" s="305"/>
      <c r="E36" s="305"/>
      <c r="F36" s="305"/>
      <c r="G36" s="305"/>
      <c r="H36" s="305"/>
      <c r="I36" s="305"/>
      <c r="J36" s="305">
        <f>+K36</f>
        <v>3000</v>
      </c>
      <c r="K36" s="305">
        <v>3000</v>
      </c>
      <c r="L36" s="305"/>
      <c r="M36" s="305">
        <f>M37+M38</f>
        <v>752</v>
      </c>
      <c r="N36" s="305"/>
      <c r="O36" s="305"/>
      <c r="P36" s="305"/>
      <c r="S36" s="84">
        <f>182-88</f>
        <v>94</v>
      </c>
    </row>
    <row r="37" spans="1:19" ht="23.25" customHeight="1">
      <c r="A37" s="307" t="s">
        <v>132</v>
      </c>
      <c r="B37" s="306" t="s">
        <v>158</v>
      </c>
      <c r="C37" s="305">
        <f t="shared" si="1"/>
        <v>696</v>
      </c>
      <c r="D37" s="305"/>
      <c r="E37" s="305"/>
      <c r="F37" s="305"/>
      <c r="G37" s="305"/>
      <c r="H37" s="305"/>
      <c r="I37" s="305"/>
      <c r="J37" s="305"/>
      <c r="K37" s="305"/>
      <c r="L37" s="305"/>
      <c r="M37" s="305">
        <f>685+11</f>
        <v>696</v>
      </c>
      <c r="N37" s="305"/>
      <c r="O37" s="305"/>
      <c r="P37" s="305"/>
    </row>
    <row r="38" spans="1:19" ht="29.25" customHeight="1">
      <c r="A38" s="307" t="s">
        <v>132</v>
      </c>
      <c r="B38" s="304" t="s">
        <v>245</v>
      </c>
      <c r="C38" s="305">
        <f t="shared" si="1"/>
        <v>56</v>
      </c>
      <c r="D38" s="305"/>
      <c r="E38" s="305"/>
      <c r="F38" s="305"/>
      <c r="G38" s="305"/>
      <c r="H38" s="305"/>
      <c r="I38" s="305"/>
      <c r="J38" s="305"/>
      <c r="K38" s="305"/>
      <c r="L38" s="305"/>
      <c r="M38" s="305">
        <v>56</v>
      </c>
      <c r="N38" s="305"/>
      <c r="O38" s="305"/>
      <c r="P38" s="305"/>
    </row>
    <row r="39" spans="1:19" ht="23.25" customHeight="1">
      <c r="A39" s="307">
        <v>15</v>
      </c>
      <c r="B39" s="304" t="s">
        <v>225</v>
      </c>
      <c r="C39" s="305">
        <f t="shared" si="1"/>
        <v>568</v>
      </c>
      <c r="D39" s="305"/>
      <c r="E39" s="305"/>
      <c r="F39" s="305"/>
      <c r="G39" s="305"/>
      <c r="H39" s="305"/>
      <c r="I39" s="305"/>
      <c r="J39" s="305"/>
      <c r="K39" s="305"/>
      <c r="L39" s="305"/>
      <c r="M39" s="305">
        <f>415+150+3</f>
        <v>568</v>
      </c>
      <c r="N39" s="305"/>
      <c r="O39" s="305"/>
      <c r="P39" s="305"/>
    </row>
    <row r="40" spans="1:19" ht="23.25" customHeight="1">
      <c r="A40" s="307">
        <v>16</v>
      </c>
      <c r="B40" s="304" t="s">
        <v>143</v>
      </c>
      <c r="C40" s="305">
        <f>SUM(D40:P40)</f>
        <v>10569</v>
      </c>
      <c r="D40" s="305"/>
      <c r="E40" s="305">
        <f>450+600+688</f>
        <v>1738</v>
      </c>
      <c r="F40" s="305"/>
      <c r="G40" s="305"/>
      <c r="H40" s="305"/>
      <c r="I40" s="305"/>
      <c r="J40" s="305"/>
      <c r="K40" s="305"/>
      <c r="L40" s="305"/>
      <c r="M40" s="305">
        <f>9013-182</f>
        <v>8831</v>
      </c>
      <c r="N40" s="305"/>
      <c r="O40" s="305"/>
      <c r="P40" s="305"/>
      <c r="Q40" s="84">
        <f>38-5</f>
        <v>33</v>
      </c>
      <c r="R40" s="84">
        <f>29*50</f>
        <v>1450</v>
      </c>
    </row>
    <row r="41" spans="1:19" ht="33" customHeight="1">
      <c r="A41" s="307"/>
      <c r="B41" s="304" t="s">
        <v>246</v>
      </c>
      <c r="C41" s="305">
        <f t="shared" si="1"/>
        <v>294</v>
      </c>
      <c r="D41" s="305"/>
      <c r="E41" s="305"/>
      <c r="F41" s="305"/>
      <c r="G41" s="305"/>
      <c r="H41" s="305"/>
      <c r="I41" s="305"/>
      <c r="J41" s="305"/>
      <c r="K41" s="305"/>
      <c r="L41" s="305"/>
      <c r="M41" s="305">
        <v>294</v>
      </c>
      <c r="N41" s="305"/>
      <c r="O41" s="305"/>
      <c r="P41" s="305"/>
      <c r="R41" s="84">
        <f>1538</f>
        <v>1538</v>
      </c>
    </row>
    <row r="42" spans="1:19" ht="23.25" customHeight="1">
      <c r="A42" s="307">
        <v>18</v>
      </c>
      <c r="B42" s="304" t="s">
        <v>231</v>
      </c>
      <c r="C42" s="305">
        <f t="shared" si="1"/>
        <v>955</v>
      </c>
      <c r="D42" s="305"/>
      <c r="E42" s="305"/>
      <c r="F42" s="305"/>
      <c r="G42" s="305"/>
      <c r="H42" s="305"/>
      <c r="I42" s="305"/>
      <c r="J42" s="305"/>
      <c r="K42" s="305"/>
      <c r="L42" s="305"/>
      <c r="M42" s="305">
        <f>865+90</f>
        <v>955</v>
      </c>
      <c r="N42" s="305"/>
      <c r="O42" s="305"/>
      <c r="P42" s="305"/>
      <c r="R42" s="84">
        <f>R40-R41</f>
        <v>-88</v>
      </c>
    </row>
    <row r="43" spans="1:19" ht="21.95" customHeight="1">
      <c r="A43" s="307">
        <v>19</v>
      </c>
      <c r="B43" s="304" t="s">
        <v>226</v>
      </c>
      <c r="C43" s="305">
        <f t="shared" si="1"/>
        <v>698</v>
      </c>
      <c r="D43" s="305"/>
      <c r="E43" s="305"/>
      <c r="F43" s="305"/>
      <c r="G43" s="305"/>
      <c r="H43" s="305"/>
      <c r="I43" s="305"/>
      <c r="J43" s="305"/>
      <c r="K43" s="305"/>
      <c r="L43" s="305"/>
      <c r="M43" s="305">
        <f>50+648</f>
        <v>698</v>
      </c>
      <c r="N43" s="305"/>
      <c r="O43" s="305"/>
      <c r="P43" s="305"/>
    </row>
    <row r="44" spans="1:19" ht="21.95" customHeight="1">
      <c r="A44" s="307">
        <v>20</v>
      </c>
      <c r="B44" s="304" t="s">
        <v>227</v>
      </c>
      <c r="C44" s="305">
        <f t="shared" si="1"/>
        <v>873</v>
      </c>
      <c r="D44" s="305"/>
      <c r="E44" s="305"/>
      <c r="F44" s="305"/>
      <c r="G44" s="305"/>
      <c r="H44" s="305"/>
      <c r="I44" s="305"/>
      <c r="J44" s="305"/>
      <c r="K44" s="305"/>
      <c r="L44" s="305"/>
      <c r="M44" s="305">
        <f>803+70</f>
        <v>873</v>
      </c>
      <c r="N44" s="305"/>
      <c r="O44" s="305"/>
      <c r="P44" s="305"/>
    </row>
    <row r="45" spans="1:19" ht="25.5" customHeight="1">
      <c r="A45" s="307">
        <v>21</v>
      </c>
      <c r="B45" s="304" t="s">
        <v>228</v>
      </c>
      <c r="C45" s="305">
        <f t="shared" ref="C45:C65" si="2">SUM(D45:P45)</f>
        <v>976</v>
      </c>
      <c r="D45" s="305"/>
      <c r="E45" s="305"/>
      <c r="F45" s="305"/>
      <c r="G45" s="305"/>
      <c r="H45" s="305"/>
      <c r="I45" s="305"/>
      <c r="J45" s="305"/>
      <c r="K45" s="305"/>
      <c r="L45" s="305"/>
      <c r="M45" s="305">
        <f>846+80+50</f>
        <v>976</v>
      </c>
      <c r="N45" s="305"/>
      <c r="O45" s="305"/>
      <c r="P45" s="305"/>
    </row>
    <row r="46" spans="1:19" ht="21.95" customHeight="1">
      <c r="A46" s="307">
        <v>22</v>
      </c>
      <c r="B46" s="304" t="s">
        <v>229</v>
      </c>
      <c r="C46" s="305">
        <f t="shared" si="2"/>
        <v>567</v>
      </c>
      <c r="D46" s="305"/>
      <c r="E46" s="305"/>
      <c r="F46" s="305"/>
      <c r="G46" s="305"/>
      <c r="H46" s="305"/>
      <c r="I46" s="305"/>
      <c r="J46" s="305"/>
      <c r="K46" s="305"/>
      <c r="L46" s="305"/>
      <c r="M46" s="305">
        <f>567</f>
        <v>567</v>
      </c>
      <c r="N46" s="305"/>
      <c r="O46" s="305"/>
      <c r="P46" s="305"/>
    </row>
    <row r="47" spans="1:19" ht="21.95" customHeight="1">
      <c r="A47" s="307">
        <v>23</v>
      </c>
      <c r="B47" s="304" t="s">
        <v>230</v>
      </c>
      <c r="C47" s="305">
        <f t="shared" si="2"/>
        <v>601</v>
      </c>
      <c r="D47" s="305"/>
      <c r="E47" s="305"/>
      <c r="F47" s="305"/>
      <c r="G47" s="305"/>
      <c r="H47" s="305"/>
      <c r="I47" s="305"/>
      <c r="J47" s="305"/>
      <c r="K47" s="305"/>
      <c r="L47" s="305"/>
      <c r="M47" s="305">
        <f>551+50</f>
        <v>601</v>
      </c>
      <c r="N47" s="305"/>
      <c r="O47" s="305"/>
      <c r="P47" s="305"/>
    </row>
    <row r="48" spans="1:19" ht="21.95" customHeight="1">
      <c r="A48" s="307">
        <v>24</v>
      </c>
      <c r="B48" s="304" t="s">
        <v>124</v>
      </c>
      <c r="C48" s="305">
        <f t="shared" si="2"/>
        <v>126</v>
      </c>
      <c r="D48" s="305"/>
      <c r="E48" s="305"/>
      <c r="F48" s="305"/>
      <c r="G48" s="305"/>
      <c r="H48" s="305"/>
      <c r="I48" s="305"/>
      <c r="J48" s="305"/>
      <c r="K48" s="305"/>
      <c r="L48" s="305"/>
      <c r="M48" s="305">
        <v>126</v>
      </c>
      <c r="N48" s="305"/>
      <c r="O48" s="305"/>
      <c r="P48" s="305"/>
    </row>
    <row r="49" spans="1:16" ht="21.95" customHeight="1">
      <c r="A49" s="307">
        <v>25</v>
      </c>
      <c r="B49" s="308" t="s">
        <v>125</v>
      </c>
      <c r="C49" s="305">
        <f t="shared" si="2"/>
        <v>126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>
        <v>126</v>
      </c>
      <c r="N49" s="305"/>
      <c r="O49" s="305"/>
      <c r="P49" s="305"/>
    </row>
    <row r="50" spans="1:16" ht="21.95" customHeight="1">
      <c r="A50" s="307">
        <v>26</v>
      </c>
      <c r="B50" s="308" t="s">
        <v>126</v>
      </c>
      <c r="C50" s="305">
        <f t="shared" si="2"/>
        <v>126</v>
      </c>
      <c r="D50" s="305"/>
      <c r="E50" s="305"/>
      <c r="F50" s="305"/>
      <c r="G50" s="305"/>
      <c r="H50" s="305"/>
      <c r="I50" s="305"/>
      <c r="J50" s="305"/>
      <c r="K50" s="305"/>
      <c r="L50" s="305"/>
      <c r="M50" s="305">
        <v>126</v>
      </c>
      <c r="N50" s="305"/>
      <c r="O50" s="305"/>
      <c r="P50" s="305"/>
    </row>
    <row r="51" spans="1:16" ht="21.95" customHeight="1">
      <c r="A51" s="307">
        <v>27</v>
      </c>
      <c r="B51" s="308" t="s">
        <v>127</v>
      </c>
      <c r="C51" s="305">
        <f t="shared" si="2"/>
        <v>126</v>
      </c>
      <c r="D51" s="305"/>
      <c r="E51" s="305"/>
      <c r="F51" s="305"/>
      <c r="G51" s="305"/>
      <c r="H51" s="305"/>
      <c r="I51" s="305"/>
      <c r="J51" s="305"/>
      <c r="K51" s="305"/>
      <c r="L51" s="305"/>
      <c r="M51" s="305">
        <v>126</v>
      </c>
      <c r="N51" s="305"/>
      <c r="O51" s="305"/>
      <c r="P51" s="305"/>
    </row>
    <row r="52" spans="1:16" ht="21.95" customHeight="1">
      <c r="A52" s="307">
        <v>28</v>
      </c>
      <c r="B52" s="308" t="s">
        <v>128</v>
      </c>
      <c r="C52" s="305">
        <f t="shared" si="2"/>
        <v>126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>
        <v>126</v>
      </c>
      <c r="N52" s="305"/>
      <c r="O52" s="305"/>
      <c r="P52" s="305"/>
    </row>
    <row r="53" spans="1:16" ht="21.95" customHeight="1">
      <c r="A53" s="307">
        <v>29</v>
      </c>
      <c r="B53" s="308" t="s">
        <v>129</v>
      </c>
      <c r="C53" s="305">
        <f t="shared" si="2"/>
        <v>159</v>
      </c>
      <c r="D53" s="305"/>
      <c r="E53" s="305"/>
      <c r="F53" s="305"/>
      <c r="G53" s="305"/>
      <c r="H53" s="305"/>
      <c r="I53" s="305"/>
      <c r="J53" s="305"/>
      <c r="K53" s="305"/>
      <c r="L53" s="305"/>
      <c r="M53" s="305">
        <v>159</v>
      </c>
      <c r="N53" s="305"/>
      <c r="O53" s="305"/>
      <c r="P53" s="305"/>
    </row>
    <row r="54" spans="1:16" ht="21.95" customHeight="1">
      <c r="A54" s="307">
        <v>30</v>
      </c>
      <c r="B54" s="308" t="s">
        <v>264</v>
      </c>
      <c r="C54" s="305">
        <f t="shared" si="2"/>
        <v>2227</v>
      </c>
      <c r="D54" s="305"/>
      <c r="E54" s="305"/>
      <c r="F54" s="305">
        <f>2474-247</f>
        <v>2227</v>
      </c>
      <c r="G54" s="305"/>
      <c r="H54" s="305"/>
      <c r="I54" s="305"/>
      <c r="J54" s="305"/>
      <c r="K54" s="305"/>
      <c r="L54" s="305"/>
      <c r="M54" s="305"/>
      <c r="N54" s="305"/>
      <c r="O54" s="305"/>
      <c r="P54" s="305"/>
    </row>
    <row r="55" spans="1:16" ht="21.95" customHeight="1">
      <c r="A55" s="307">
        <v>30</v>
      </c>
      <c r="B55" s="306" t="s">
        <v>280</v>
      </c>
      <c r="C55" s="305">
        <f t="shared" si="2"/>
        <v>2589</v>
      </c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5">
        <v>2589</v>
      </c>
      <c r="O55" s="305"/>
      <c r="P55" s="305"/>
    </row>
    <row r="56" spans="1:16" ht="21.95" customHeight="1">
      <c r="A56" s="307"/>
      <c r="B56" s="306" t="s">
        <v>159</v>
      </c>
      <c r="C56" s="305">
        <f t="shared" si="2"/>
        <v>0</v>
      </c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</row>
    <row r="57" spans="1:16" ht="21.95" customHeight="1">
      <c r="A57" s="307">
        <v>31</v>
      </c>
      <c r="B57" s="308" t="s">
        <v>281</v>
      </c>
      <c r="C57" s="305">
        <f t="shared" si="2"/>
        <v>30</v>
      </c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>
        <v>30</v>
      </c>
      <c r="O57" s="305"/>
      <c r="P57" s="305"/>
    </row>
    <row r="58" spans="1:16" ht="21.95" customHeight="1">
      <c r="A58" s="307">
        <v>32</v>
      </c>
      <c r="B58" s="308" t="s">
        <v>282</v>
      </c>
      <c r="C58" s="305">
        <f t="shared" si="2"/>
        <v>30</v>
      </c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>
        <v>30</v>
      </c>
      <c r="O58" s="305"/>
      <c r="P58" s="305"/>
    </row>
    <row r="59" spans="1:16" ht="21.95" customHeight="1">
      <c r="A59" s="307">
        <v>33</v>
      </c>
      <c r="B59" s="308" t="s">
        <v>283</v>
      </c>
      <c r="C59" s="305">
        <f t="shared" si="2"/>
        <v>30</v>
      </c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>
        <v>30</v>
      </c>
      <c r="O59" s="305"/>
      <c r="P59" s="305"/>
    </row>
    <row r="60" spans="1:16" ht="21.95" customHeight="1">
      <c r="A60" s="307">
        <v>34</v>
      </c>
      <c r="B60" s="306" t="s">
        <v>144</v>
      </c>
      <c r="C60" s="305">
        <f t="shared" si="2"/>
        <v>446</v>
      </c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>
        <f>495-49</f>
        <v>446</v>
      </c>
      <c r="O60" s="305"/>
      <c r="P60" s="305"/>
    </row>
    <row r="61" spans="1:16" ht="21.95" customHeight="1">
      <c r="A61" s="307">
        <v>35</v>
      </c>
      <c r="B61" s="309" t="s">
        <v>130</v>
      </c>
      <c r="C61" s="305">
        <f t="shared" si="2"/>
        <v>30</v>
      </c>
      <c r="D61" s="305"/>
      <c r="E61" s="305"/>
      <c r="F61" s="305"/>
      <c r="G61" s="305"/>
      <c r="H61" s="305"/>
      <c r="I61" s="305"/>
      <c r="J61" s="305"/>
      <c r="K61" s="305"/>
      <c r="L61" s="305"/>
      <c r="M61" s="305">
        <v>30</v>
      </c>
      <c r="N61" s="305"/>
      <c r="O61" s="305"/>
      <c r="P61" s="305"/>
    </row>
    <row r="62" spans="1:16" ht="21.95" customHeight="1">
      <c r="A62" s="307">
        <v>36</v>
      </c>
      <c r="B62" s="309" t="s">
        <v>145</v>
      </c>
      <c r="C62" s="305">
        <f t="shared" si="2"/>
        <v>30</v>
      </c>
      <c r="D62" s="305"/>
      <c r="E62" s="305"/>
      <c r="F62" s="305"/>
      <c r="G62" s="305"/>
      <c r="H62" s="305"/>
      <c r="I62" s="305"/>
      <c r="J62" s="305"/>
      <c r="K62" s="305"/>
      <c r="L62" s="305"/>
      <c r="M62" s="305">
        <v>30</v>
      </c>
      <c r="N62" s="305"/>
      <c r="O62" s="305"/>
      <c r="P62" s="305"/>
    </row>
    <row r="63" spans="1:16" ht="36.75" customHeight="1">
      <c r="A63" s="307">
        <v>37</v>
      </c>
      <c r="B63" s="309" t="s">
        <v>160</v>
      </c>
      <c r="C63" s="305">
        <f t="shared" si="2"/>
        <v>80</v>
      </c>
      <c r="D63" s="305"/>
      <c r="E63" s="305"/>
      <c r="F63" s="305"/>
      <c r="G63" s="305"/>
      <c r="H63" s="305"/>
      <c r="I63" s="305"/>
      <c r="J63" s="305"/>
      <c r="K63" s="305"/>
      <c r="L63" s="305"/>
      <c r="M63" s="305">
        <v>80</v>
      </c>
      <c r="N63" s="305"/>
      <c r="O63" s="305"/>
      <c r="P63" s="305"/>
    </row>
    <row r="64" spans="1:16" ht="21.95" customHeight="1">
      <c r="A64" s="307">
        <v>38</v>
      </c>
      <c r="B64" s="309" t="s">
        <v>131</v>
      </c>
      <c r="C64" s="305">
        <f t="shared" si="2"/>
        <v>30</v>
      </c>
      <c r="D64" s="305"/>
      <c r="E64" s="305"/>
      <c r="F64" s="305"/>
      <c r="G64" s="305"/>
      <c r="H64" s="305"/>
      <c r="I64" s="305"/>
      <c r="J64" s="305"/>
      <c r="K64" s="305"/>
      <c r="L64" s="305"/>
      <c r="M64" s="305">
        <v>30</v>
      </c>
      <c r="N64" s="305"/>
      <c r="O64" s="305"/>
      <c r="P64" s="305"/>
    </row>
    <row r="65" spans="1:19" ht="26.25" customHeight="1">
      <c r="A65" s="307">
        <v>40</v>
      </c>
      <c r="B65" s="309" t="s">
        <v>255</v>
      </c>
      <c r="C65" s="305">
        <f t="shared" si="2"/>
        <v>200</v>
      </c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>
        <v>200</v>
      </c>
    </row>
    <row r="66" spans="1:19" ht="21.95" customHeight="1">
      <c r="A66" s="307">
        <v>41</v>
      </c>
      <c r="B66" s="306" t="s">
        <v>186</v>
      </c>
      <c r="C66" s="305">
        <f>SUM(C67:C78)-C71</f>
        <v>53894</v>
      </c>
      <c r="D66" s="305">
        <f t="shared" ref="D66:O66" si="3">SUM(D67:D78)-D71</f>
        <v>0</v>
      </c>
      <c r="E66" s="305">
        <f t="shared" si="3"/>
        <v>2041</v>
      </c>
      <c r="F66" s="305">
        <f t="shared" si="3"/>
        <v>0</v>
      </c>
      <c r="G66" s="305">
        <f t="shared" si="3"/>
        <v>483</v>
      </c>
      <c r="H66" s="305">
        <f t="shared" si="3"/>
        <v>0</v>
      </c>
      <c r="I66" s="305">
        <f t="shared" si="3"/>
        <v>0</v>
      </c>
      <c r="J66" s="305">
        <f>SUM(J67:J78)-J71</f>
        <v>45536</v>
      </c>
      <c r="K66" s="305">
        <f t="shared" si="3"/>
        <v>0</v>
      </c>
      <c r="L66" s="305">
        <f t="shared" si="3"/>
        <v>0</v>
      </c>
      <c r="M66" s="305">
        <f t="shared" si="3"/>
        <v>5834</v>
      </c>
      <c r="N66" s="305">
        <f t="shared" si="3"/>
        <v>0</v>
      </c>
      <c r="O66" s="305">
        <f t="shared" si="3"/>
        <v>0</v>
      </c>
      <c r="P66" s="305">
        <f>SUM(P67:P78)</f>
        <v>0</v>
      </c>
      <c r="R66" s="287">
        <f>E66+G66+J66+M66</f>
        <v>53894</v>
      </c>
    </row>
    <row r="67" spans="1:19" ht="21.95" customHeight="1">
      <c r="A67" s="307" t="s">
        <v>132</v>
      </c>
      <c r="B67" s="309" t="s">
        <v>111</v>
      </c>
      <c r="C67" s="305">
        <f t="shared" ref="C67:C76" si="4">SUM(D67:P67)</f>
        <v>5434</v>
      </c>
      <c r="D67" s="305"/>
      <c r="E67" s="305"/>
      <c r="F67" s="305"/>
      <c r="G67" s="305"/>
      <c r="H67" s="305"/>
      <c r="I67" s="305"/>
      <c r="J67" s="305"/>
      <c r="K67" s="305"/>
      <c r="L67" s="305"/>
      <c r="M67" s="305">
        <v>5434</v>
      </c>
      <c r="N67" s="305"/>
      <c r="O67" s="305"/>
      <c r="P67" s="305"/>
    </row>
    <row r="68" spans="1:19" ht="21.95" customHeight="1">
      <c r="A68" s="307" t="s">
        <v>132</v>
      </c>
      <c r="B68" s="309" t="s">
        <v>110</v>
      </c>
      <c r="C68" s="305">
        <f t="shared" si="4"/>
        <v>200</v>
      </c>
      <c r="D68" s="305"/>
      <c r="E68" s="305"/>
      <c r="F68" s="305"/>
      <c r="G68" s="305"/>
      <c r="H68" s="305"/>
      <c r="I68" s="305"/>
      <c r="J68" s="305"/>
      <c r="K68" s="305"/>
      <c r="L68" s="305"/>
      <c r="M68" s="310">
        <v>200</v>
      </c>
      <c r="N68" s="310"/>
      <c r="O68" s="305"/>
      <c r="P68" s="305"/>
      <c r="S68" s="84">
        <f>88-182</f>
        <v>-94</v>
      </c>
    </row>
    <row r="69" spans="1:19" ht="21.95" customHeight="1">
      <c r="A69" s="307" t="s">
        <v>132</v>
      </c>
      <c r="B69" s="309" t="s">
        <v>133</v>
      </c>
      <c r="C69" s="305">
        <f t="shared" si="4"/>
        <v>200</v>
      </c>
      <c r="D69" s="305"/>
      <c r="E69" s="305"/>
      <c r="F69" s="305"/>
      <c r="G69" s="305"/>
      <c r="H69" s="305"/>
      <c r="I69" s="305"/>
      <c r="J69" s="305"/>
      <c r="K69" s="305"/>
      <c r="L69" s="305"/>
      <c r="M69" s="310">
        <v>200</v>
      </c>
      <c r="N69" s="310"/>
      <c r="O69" s="305"/>
      <c r="P69" s="305"/>
    </row>
    <row r="70" spans="1:19" ht="21.95" customHeight="1">
      <c r="A70" s="307" t="s">
        <v>132</v>
      </c>
      <c r="B70" s="311" t="s">
        <v>207</v>
      </c>
      <c r="C70" s="305">
        <f t="shared" si="4"/>
        <v>2041</v>
      </c>
      <c r="D70" s="312"/>
      <c r="E70" s="312">
        <f>7154-E13-E40-566</f>
        <v>2041</v>
      </c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</row>
    <row r="71" spans="1:19" ht="21.95" customHeight="1">
      <c r="A71" s="307" t="s">
        <v>132</v>
      </c>
      <c r="B71" s="311" t="s">
        <v>196</v>
      </c>
      <c r="C71" s="305">
        <f>SUM(D71:P71)</f>
        <v>45536</v>
      </c>
      <c r="D71" s="311"/>
      <c r="E71" s="311"/>
      <c r="F71" s="311"/>
      <c r="G71" s="311"/>
      <c r="H71" s="311"/>
      <c r="I71" s="311"/>
      <c r="J71" s="312">
        <f>SUM(J72:J77)</f>
        <v>45536</v>
      </c>
      <c r="K71" s="311"/>
      <c r="L71" s="311"/>
      <c r="M71" s="311"/>
      <c r="N71" s="311"/>
      <c r="O71" s="311"/>
      <c r="P71" s="311"/>
    </row>
    <row r="72" spans="1:19" ht="21.95" customHeight="1">
      <c r="A72" s="307" t="s">
        <v>194</v>
      </c>
      <c r="B72" s="311" t="s">
        <v>233</v>
      </c>
      <c r="C72" s="305">
        <f t="shared" si="4"/>
        <v>20000</v>
      </c>
      <c r="D72" s="311"/>
      <c r="E72" s="311"/>
      <c r="F72" s="311"/>
      <c r="G72" s="311"/>
      <c r="H72" s="311"/>
      <c r="I72" s="311"/>
      <c r="J72" s="312">
        <v>20000</v>
      </c>
      <c r="K72" s="311"/>
      <c r="L72" s="311"/>
      <c r="M72" s="311"/>
      <c r="N72" s="311"/>
      <c r="O72" s="311"/>
      <c r="P72" s="311"/>
    </row>
    <row r="73" spans="1:19" ht="21.95" customHeight="1">
      <c r="A73" s="307" t="s">
        <v>194</v>
      </c>
      <c r="B73" s="311" t="s">
        <v>195</v>
      </c>
      <c r="C73" s="305">
        <f t="shared" si="4"/>
        <v>2320</v>
      </c>
      <c r="D73" s="311"/>
      <c r="E73" s="311"/>
      <c r="F73" s="311"/>
      <c r="G73" s="311"/>
      <c r="H73" s="311"/>
      <c r="I73" s="311"/>
      <c r="J73" s="312">
        <v>2320</v>
      </c>
      <c r="K73" s="311"/>
      <c r="L73" s="311"/>
      <c r="M73" s="311"/>
      <c r="N73" s="311"/>
      <c r="O73" s="311"/>
      <c r="P73" s="311"/>
    </row>
    <row r="74" spans="1:19" ht="35.25" customHeight="1">
      <c r="A74" s="322" t="s">
        <v>254</v>
      </c>
      <c r="B74" s="311" t="s">
        <v>299</v>
      </c>
      <c r="C74" s="305">
        <f>SUM(D74:P74)</f>
        <v>1000</v>
      </c>
      <c r="D74" s="311"/>
      <c r="E74" s="311"/>
      <c r="F74" s="311"/>
      <c r="G74" s="311"/>
      <c r="H74" s="311"/>
      <c r="I74" s="311"/>
      <c r="J74" s="312">
        <v>1000</v>
      </c>
      <c r="K74" s="311"/>
      <c r="L74" s="311"/>
      <c r="M74" s="311"/>
      <c r="N74" s="311"/>
      <c r="O74" s="311"/>
      <c r="P74" s="311"/>
    </row>
    <row r="75" spans="1:19" ht="21.95" customHeight="1">
      <c r="A75" s="307" t="s">
        <v>194</v>
      </c>
      <c r="B75" s="311" t="s">
        <v>252</v>
      </c>
      <c r="C75" s="305">
        <f t="shared" si="4"/>
        <v>5000</v>
      </c>
      <c r="D75" s="311"/>
      <c r="E75" s="311"/>
      <c r="F75" s="311"/>
      <c r="G75" s="311"/>
      <c r="H75" s="311"/>
      <c r="I75" s="311"/>
      <c r="J75" s="312">
        <v>5000</v>
      </c>
      <c r="K75" s="311"/>
      <c r="L75" s="311"/>
      <c r="M75" s="311"/>
      <c r="N75" s="311"/>
      <c r="O75" s="311"/>
      <c r="P75" s="311"/>
    </row>
    <row r="76" spans="1:19" ht="21.95" customHeight="1">
      <c r="A76" s="307" t="s">
        <v>194</v>
      </c>
      <c r="B76" s="311" t="s">
        <v>277</v>
      </c>
      <c r="C76" s="305">
        <f t="shared" si="4"/>
        <v>570</v>
      </c>
      <c r="D76" s="311"/>
      <c r="E76" s="311"/>
      <c r="F76" s="311"/>
      <c r="G76" s="311"/>
      <c r="H76" s="311"/>
      <c r="I76" s="311"/>
      <c r="J76" s="312">
        <v>570</v>
      </c>
      <c r="K76" s="311"/>
      <c r="L76" s="311"/>
      <c r="M76" s="311"/>
      <c r="N76" s="311"/>
      <c r="O76" s="311"/>
      <c r="P76" s="311"/>
    </row>
    <row r="77" spans="1:19" ht="21.95" customHeight="1">
      <c r="A77" s="307" t="s">
        <v>194</v>
      </c>
      <c r="B77" s="311" t="s">
        <v>134</v>
      </c>
      <c r="C77" s="305">
        <f>SUM(D77:P77)</f>
        <v>16646</v>
      </c>
      <c r="D77" s="311"/>
      <c r="E77" s="311"/>
      <c r="F77" s="311"/>
      <c r="G77" s="311"/>
      <c r="H77" s="311"/>
      <c r="I77" s="311"/>
      <c r="J77" s="312">
        <f>18216-J76-J74</f>
        <v>16646</v>
      </c>
      <c r="K77" s="311"/>
      <c r="L77" s="311"/>
      <c r="M77" s="311"/>
      <c r="N77" s="311"/>
      <c r="O77" s="311"/>
      <c r="P77" s="311"/>
    </row>
    <row r="78" spans="1:19" ht="33" customHeight="1">
      <c r="A78" s="307" t="s">
        <v>132</v>
      </c>
      <c r="B78" s="311" t="s">
        <v>276</v>
      </c>
      <c r="C78" s="305">
        <f>SUM(D78:P78)</f>
        <v>483</v>
      </c>
      <c r="D78" s="311"/>
      <c r="E78" s="311"/>
      <c r="F78" s="311"/>
      <c r="G78" s="312">
        <f>2342+825+1072-G14-310-73</f>
        <v>483</v>
      </c>
      <c r="H78" s="312"/>
      <c r="I78" s="311"/>
      <c r="J78" s="312"/>
      <c r="K78" s="311"/>
      <c r="L78" s="311"/>
      <c r="M78" s="311"/>
      <c r="N78" s="311"/>
      <c r="O78" s="311"/>
      <c r="P78" s="312"/>
    </row>
  </sheetData>
  <mergeCells count="24">
    <mergeCell ref="O8:O10"/>
    <mergeCell ref="P8:P10"/>
    <mergeCell ref="K9:K10"/>
    <mergeCell ref="M1:P1"/>
    <mergeCell ref="A2:O2"/>
    <mergeCell ref="A3:P3"/>
    <mergeCell ref="A4:P4"/>
    <mergeCell ref="A5:P5"/>
    <mergeCell ref="L9:L10"/>
    <mergeCell ref="M8:M10"/>
    <mergeCell ref="M6:P6"/>
    <mergeCell ref="A7:A10"/>
    <mergeCell ref="B7:B10"/>
    <mergeCell ref="C7:C10"/>
    <mergeCell ref="D7:P7"/>
    <mergeCell ref="D8:D10"/>
    <mergeCell ref="J8:J10"/>
    <mergeCell ref="K8:L8"/>
    <mergeCell ref="N8:N10"/>
    <mergeCell ref="E8:E10"/>
    <mergeCell ref="F8:F10"/>
    <mergeCell ref="G8:G10"/>
    <mergeCell ref="H8:H10"/>
    <mergeCell ref="I8:I10"/>
  </mergeCells>
  <printOptions horizontalCentered="1"/>
  <pageMargins left="0.5" right="0.5" top="0.5" bottom="0.5" header="0.31496062992126" footer="0.31496062992126"/>
  <pageSetup paperSize="9" scale="85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85"/>
  <sheetViews>
    <sheetView topLeftCell="A3" workbookViewId="0">
      <selection activeCell="I13" sqref="I13"/>
    </sheetView>
  </sheetViews>
  <sheetFormatPr defaultColWidth="9.140625" defaultRowHeight="18"/>
  <cols>
    <col min="1" max="1" width="8.140625" style="60" customWidth="1"/>
    <col min="2" max="2" width="55" style="60" customWidth="1"/>
    <col min="3" max="3" width="14.7109375" style="60" customWidth="1"/>
    <col min="4" max="4" width="16.7109375" style="125" customWidth="1"/>
    <col min="5" max="5" width="14.7109375" style="60" customWidth="1"/>
    <col min="6" max="6" width="14.28515625" style="60" customWidth="1"/>
    <col min="7" max="7" width="14.140625" style="60" customWidth="1"/>
    <col min="8" max="8" width="13.5703125" style="60" customWidth="1"/>
    <col min="9" max="16384" width="9.140625" style="60"/>
  </cols>
  <sheetData>
    <row r="1" spans="1:16" ht="19.5" hidden="1" customHeight="1">
      <c r="A1" s="346" t="s">
        <v>68</v>
      </c>
      <c r="B1" s="347"/>
      <c r="D1" s="350" t="s">
        <v>67</v>
      </c>
      <c r="E1" s="350"/>
      <c r="F1" s="350"/>
      <c r="G1" s="74"/>
    </row>
    <row r="2" spans="1:16" ht="19.5" hidden="1" customHeight="1">
      <c r="A2" s="72"/>
      <c r="B2" s="73"/>
      <c r="D2" s="118"/>
      <c r="E2" s="61"/>
      <c r="F2" s="61"/>
      <c r="G2" s="61"/>
    </row>
    <row r="3" spans="1:16" ht="19.5" customHeight="1">
      <c r="A3" s="72"/>
      <c r="B3" s="73"/>
      <c r="D3" s="118"/>
      <c r="E3" s="356" t="s">
        <v>154</v>
      </c>
      <c r="F3" s="356"/>
      <c r="G3" s="356"/>
    </row>
    <row r="4" spans="1:16" ht="21.75" customHeight="1">
      <c r="A4" s="357" t="s">
        <v>268</v>
      </c>
      <c r="B4" s="357"/>
      <c r="C4" s="357"/>
      <c r="D4" s="357"/>
      <c r="E4" s="357"/>
      <c r="F4" s="357"/>
      <c r="G4" s="357"/>
    </row>
    <row r="5" spans="1:16" ht="25.5" customHeight="1">
      <c r="A5" s="358" t="s">
        <v>290</v>
      </c>
      <c r="B5" s="358"/>
      <c r="C5" s="358"/>
      <c r="D5" s="358"/>
      <c r="E5" s="358"/>
      <c r="F5" s="358"/>
      <c r="G5" s="358"/>
      <c r="H5" s="62"/>
      <c r="I5" s="62"/>
      <c r="J5" s="62"/>
      <c r="K5" s="62"/>
      <c r="L5" s="62"/>
      <c r="M5" s="62"/>
      <c r="N5" s="62"/>
      <c r="O5" s="62"/>
      <c r="P5" s="62"/>
    </row>
    <row r="6" spans="1:16" s="15" customFormat="1" ht="7.5" customHeight="1">
      <c r="A6" s="359"/>
      <c r="B6" s="359"/>
      <c r="C6" s="359"/>
      <c r="D6" s="359"/>
      <c r="E6" s="359"/>
      <c r="F6" s="359"/>
      <c r="G6" s="359"/>
    </row>
    <row r="7" spans="1:16" ht="22.5" customHeight="1">
      <c r="A7" s="89"/>
      <c r="B7" s="89"/>
      <c r="C7" s="89"/>
      <c r="D7" s="119"/>
      <c r="E7" s="353" t="s">
        <v>69</v>
      </c>
      <c r="F7" s="353"/>
      <c r="G7" s="353"/>
    </row>
    <row r="8" spans="1:16" s="63" customFormat="1" ht="23.25" customHeight="1">
      <c r="A8" s="348" t="s">
        <v>21</v>
      </c>
      <c r="B8" s="354" t="s">
        <v>6</v>
      </c>
      <c r="C8" s="349" t="s">
        <v>244</v>
      </c>
      <c r="D8" s="355" t="s">
        <v>257</v>
      </c>
      <c r="E8" s="349" t="s">
        <v>258</v>
      </c>
      <c r="F8" s="351" t="s">
        <v>167</v>
      </c>
      <c r="G8" s="352"/>
    </row>
    <row r="9" spans="1:16" s="64" customFormat="1" ht="42" customHeight="1">
      <c r="A9" s="348"/>
      <c r="B9" s="349"/>
      <c r="C9" s="349"/>
      <c r="D9" s="355"/>
      <c r="E9" s="349"/>
      <c r="F9" s="90" t="s">
        <v>168</v>
      </c>
      <c r="G9" s="91" t="s">
        <v>169</v>
      </c>
    </row>
    <row r="10" spans="1:16" s="64" customFormat="1" ht="25.5" customHeight="1">
      <c r="A10" s="97" t="s">
        <v>10</v>
      </c>
      <c r="B10" s="97" t="s">
        <v>11</v>
      </c>
      <c r="C10" s="143">
        <v>1</v>
      </c>
      <c r="D10" s="144">
        <v>2</v>
      </c>
      <c r="E10" s="97">
        <v>3</v>
      </c>
      <c r="F10" s="97">
        <v>4</v>
      </c>
      <c r="G10" s="97">
        <v>5</v>
      </c>
    </row>
    <row r="11" spans="1:16" s="64" customFormat="1" ht="30" customHeight="1">
      <c r="A11" s="92" t="s">
        <v>10</v>
      </c>
      <c r="B11" s="93" t="s">
        <v>70</v>
      </c>
      <c r="C11" s="94">
        <v>596998</v>
      </c>
      <c r="D11" s="120">
        <f>SUM(D12,D15,D18:D19)</f>
        <v>896722</v>
      </c>
      <c r="E11" s="94">
        <f>SUM(E12,E15,E18:E19)</f>
        <v>646363</v>
      </c>
      <c r="F11" s="94">
        <f>SUM(F12,F15,F18:F19)</f>
        <v>-250359</v>
      </c>
      <c r="G11" s="95">
        <f>E11/D11*100</f>
        <v>72.080644837530471</v>
      </c>
    </row>
    <row r="12" spans="1:16" s="65" customFormat="1" ht="47.25" customHeight="1">
      <c r="A12" s="92" t="s">
        <v>12</v>
      </c>
      <c r="B12" s="96" t="s">
        <v>71</v>
      </c>
      <c r="C12" s="120">
        <v>50170</v>
      </c>
      <c r="D12" s="120">
        <f>SUM(D13:D14)</f>
        <v>70133</v>
      </c>
      <c r="E12" s="94">
        <f>SUM(E13:E14)</f>
        <v>56800</v>
      </c>
      <c r="F12" s="94">
        <f>SUM(F13:F14)</f>
        <v>-13333</v>
      </c>
      <c r="G12" s="95">
        <f>E12/D12*100</f>
        <v>80.988978084496594</v>
      </c>
      <c r="H12" s="69"/>
    </row>
    <row r="13" spans="1:16" s="64" customFormat="1" ht="30.75" customHeight="1">
      <c r="A13" s="97">
        <v>1</v>
      </c>
      <c r="B13" s="98" t="s">
        <v>72</v>
      </c>
      <c r="C13" s="99">
        <v>44170</v>
      </c>
      <c r="D13" s="121">
        <f>'16-CK'!D10-'16-CK'!D20</f>
        <v>61433</v>
      </c>
      <c r="E13" s="99">
        <f>'16-CK'!F10-'16-CK'!F20</f>
        <v>46600</v>
      </c>
      <c r="F13" s="99">
        <f>E13-D13</f>
        <v>-14833</v>
      </c>
      <c r="G13" s="100">
        <f t="shared" ref="G13:G19" si="0">E13/D13*100</f>
        <v>75.854996500252298</v>
      </c>
    </row>
    <row r="14" spans="1:16" s="64" customFormat="1" ht="30.75" customHeight="1">
      <c r="A14" s="97">
        <v>2</v>
      </c>
      <c r="B14" s="98" t="s">
        <v>73</v>
      </c>
      <c r="C14" s="99">
        <v>6000</v>
      </c>
      <c r="D14" s="121">
        <f>'16-CK'!D20</f>
        <v>8700</v>
      </c>
      <c r="E14" s="99">
        <f>'16-CK'!F20</f>
        <v>10200</v>
      </c>
      <c r="F14" s="99">
        <f>E14-D14</f>
        <v>1500</v>
      </c>
      <c r="G14" s="100">
        <f t="shared" si="0"/>
        <v>117.24137931034481</v>
      </c>
    </row>
    <row r="15" spans="1:16" s="66" customFormat="1" ht="30.75" customHeight="1">
      <c r="A15" s="92" t="s">
        <v>17</v>
      </c>
      <c r="B15" s="96" t="s">
        <v>116</v>
      </c>
      <c r="C15" s="94">
        <v>546828</v>
      </c>
      <c r="D15" s="120">
        <f>SUM(D16:D17)</f>
        <v>637841</v>
      </c>
      <c r="E15" s="94">
        <f>SUM(E16:E17)</f>
        <v>589563</v>
      </c>
      <c r="F15" s="94">
        <f>SUM(F16:F17)</f>
        <v>-48278</v>
      </c>
      <c r="G15" s="95">
        <f t="shared" si="0"/>
        <v>92.43102904955937</v>
      </c>
    </row>
    <row r="16" spans="1:16" s="65" customFormat="1" ht="30.75" customHeight="1">
      <c r="A16" s="288" t="s">
        <v>22</v>
      </c>
      <c r="B16" s="98" t="s">
        <v>287</v>
      </c>
      <c r="C16" s="99">
        <v>510591</v>
      </c>
      <c r="D16" s="121">
        <f>C16</f>
        <v>510591</v>
      </c>
      <c r="E16" s="99">
        <v>543128</v>
      </c>
      <c r="F16" s="99">
        <f>E16-D16</f>
        <v>32537</v>
      </c>
      <c r="G16" s="100">
        <f>E16/D16*100</f>
        <v>106.37241941201469</v>
      </c>
    </row>
    <row r="17" spans="1:8" s="65" customFormat="1" ht="27" customHeight="1">
      <c r="A17" s="288" t="s">
        <v>22</v>
      </c>
      <c r="B17" s="98" t="s">
        <v>288</v>
      </c>
      <c r="C17" s="99">
        <v>36237</v>
      </c>
      <c r="D17" s="242">
        <v>127250</v>
      </c>
      <c r="E17" s="99">
        <v>46435</v>
      </c>
      <c r="F17" s="99">
        <f>E17-D17</f>
        <v>-80815</v>
      </c>
      <c r="G17" s="100">
        <f t="shared" si="0"/>
        <v>36.491159135559919</v>
      </c>
    </row>
    <row r="18" spans="1:8" s="67" customFormat="1" ht="30.75" customHeight="1">
      <c r="A18" s="92" t="s">
        <v>20</v>
      </c>
      <c r="B18" s="96" t="s">
        <v>28</v>
      </c>
      <c r="C18" s="101"/>
      <c r="D18" s="122">
        <v>9135</v>
      </c>
      <c r="E18" s="101"/>
      <c r="F18" s="101">
        <f>E18-D18</f>
        <v>-9135</v>
      </c>
      <c r="G18" s="95">
        <f t="shared" si="0"/>
        <v>0</v>
      </c>
    </row>
    <row r="19" spans="1:8" s="67" customFormat="1" ht="30.75" customHeight="1">
      <c r="A19" s="92" t="s">
        <v>27</v>
      </c>
      <c r="B19" s="96" t="s">
        <v>30</v>
      </c>
      <c r="C19" s="101"/>
      <c r="D19" s="122">
        <v>179613</v>
      </c>
      <c r="E19" s="101"/>
      <c r="F19" s="101">
        <f>E19-D19</f>
        <v>-179613</v>
      </c>
      <c r="G19" s="95">
        <f t="shared" si="0"/>
        <v>0</v>
      </c>
    </row>
    <row r="20" spans="1:8" s="67" customFormat="1" ht="30.75" customHeight="1">
      <c r="A20" s="92" t="s">
        <v>11</v>
      </c>
      <c r="B20" s="93" t="s">
        <v>74</v>
      </c>
      <c r="C20" s="94">
        <v>561387</v>
      </c>
      <c r="D20" s="120">
        <f>D21+D26+D29+D30</f>
        <v>827436</v>
      </c>
      <c r="E20" s="94">
        <f>E21+E26+E29</f>
        <v>646363</v>
      </c>
      <c r="F20" s="94">
        <f t="shared" ref="F20" si="1">F21+F26+F29</f>
        <v>113683</v>
      </c>
      <c r="G20" s="95">
        <f t="shared" ref="G20" si="2">E20/C20*100</f>
        <v>115.13679511638139</v>
      </c>
    </row>
    <row r="21" spans="1:8" s="67" customFormat="1" ht="30.75" customHeight="1">
      <c r="A21" s="92" t="s">
        <v>12</v>
      </c>
      <c r="B21" s="96" t="s">
        <v>75</v>
      </c>
      <c r="C21" s="94">
        <v>525150</v>
      </c>
      <c r="D21" s="120">
        <f>SUM(D22:D25)</f>
        <v>553552</v>
      </c>
      <c r="E21" s="94">
        <f>SUM(E22:E25)</f>
        <v>599928</v>
      </c>
      <c r="F21" s="94">
        <f>SUM(F22:F24)</f>
        <v>74982</v>
      </c>
      <c r="G21" s="95">
        <f>E21/C21*100</f>
        <v>114.23936018280492</v>
      </c>
      <c r="H21" s="243"/>
    </row>
    <row r="22" spans="1:8" ht="30.75" customHeight="1">
      <c r="A22" s="97">
        <v>1</v>
      </c>
      <c r="B22" s="102" t="s">
        <v>31</v>
      </c>
      <c r="C22" s="99">
        <v>37305</v>
      </c>
      <c r="D22" s="121">
        <v>37305</v>
      </c>
      <c r="E22" s="99">
        <v>43103</v>
      </c>
      <c r="F22" s="99">
        <f>E22-C22</f>
        <v>5798</v>
      </c>
      <c r="G22" s="100">
        <f>E22/C22*100</f>
        <v>115.54215252647097</v>
      </c>
    </row>
    <row r="23" spans="1:8" s="65" customFormat="1" ht="30.75" customHeight="1">
      <c r="A23" s="97">
        <v>2</v>
      </c>
      <c r="B23" s="98" t="s">
        <v>4</v>
      </c>
      <c r="C23" s="99">
        <v>469437</v>
      </c>
      <c r="D23" s="121">
        <v>505252</v>
      </c>
      <c r="E23" s="99">
        <f>545062-E25</f>
        <v>537853</v>
      </c>
      <c r="F23" s="99">
        <f t="shared" ref="F23" si="3">E23-C23</f>
        <v>68416</v>
      </c>
      <c r="G23" s="100">
        <f t="shared" ref="G23" si="4">E23/C23*100</f>
        <v>114.57405360037663</v>
      </c>
      <c r="H23" s="69"/>
    </row>
    <row r="24" spans="1:8" s="65" customFormat="1" ht="30.75" customHeight="1">
      <c r="A24" s="97">
        <v>3</v>
      </c>
      <c r="B24" s="98" t="s">
        <v>7</v>
      </c>
      <c r="C24" s="99">
        <v>10995</v>
      </c>
      <c r="D24" s="121">
        <v>10995</v>
      </c>
      <c r="E24" s="99">
        <v>11763</v>
      </c>
      <c r="F24" s="99">
        <f>E24-C24</f>
        <v>768</v>
      </c>
      <c r="G24" s="100">
        <f>E24/C24*100</f>
        <v>106.98499317871759</v>
      </c>
    </row>
    <row r="25" spans="1:8" s="65" customFormat="1" ht="30.75" customHeight="1">
      <c r="A25" s="97">
        <v>4</v>
      </c>
      <c r="B25" s="127" t="s">
        <v>204</v>
      </c>
      <c r="C25" s="99">
        <v>7413</v>
      </c>
      <c r="D25" s="121"/>
      <c r="E25" s="99">
        <v>7209</v>
      </c>
      <c r="F25" s="99">
        <v>1038</v>
      </c>
      <c r="G25" s="100">
        <f t="shared" ref="G25:G28" si="5">E25/C25*100</f>
        <v>97.24807770133549</v>
      </c>
    </row>
    <row r="26" spans="1:8" s="70" customFormat="1" ht="30.75" customHeight="1">
      <c r="A26" s="116" t="s">
        <v>17</v>
      </c>
      <c r="B26" s="96" t="s">
        <v>32</v>
      </c>
      <c r="C26" s="101">
        <v>36237</v>
      </c>
      <c r="D26" s="122">
        <f>D27+D28</f>
        <v>85136</v>
      </c>
      <c r="E26" s="101">
        <f>E27+E28</f>
        <v>46435</v>
      </c>
      <c r="F26" s="101">
        <f t="shared" ref="F26" si="6">D26-E26</f>
        <v>38701</v>
      </c>
      <c r="G26" s="95">
        <f t="shared" si="5"/>
        <v>128.14250627811353</v>
      </c>
    </row>
    <row r="27" spans="1:8" s="70" customFormat="1" ht="30.75" customHeight="1">
      <c r="A27" s="97">
        <v>1</v>
      </c>
      <c r="B27" s="98" t="s">
        <v>33</v>
      </c>
      <c r="C27" s="99"/>
      <c r="D27" s="99">
        <v>29612</v>
      </c>
      <c r="E27" s="99"/>
      <c r="F27" s="99"/>
      <c r="G27" s="100"/>
    </row>
    <row r="28" spans="1:8" s="70" customFormat="1" ht="30.75" customHeight="1">
      <c r="A28" s="97">
        <v>2</v>
      </c>
      <c r="B28" s="98" t="s">
        <v>34</v>
      </c>
      <c r="C28" s="99">
        <v>36237</v>
      </c>
      <c r="D28" s="99">
        <f>36237+19287</f>
        <v>55524</v>
      </c>
      <c r="E28" s="99">
        <v>46435</v>
      </c>
      <c r="F28" s="99">
        <f>E28-C28</f>
        <v>10198</v>
      </c>
      <c r="G28" s="100">
        <f t="shared" si="5"/>
        <v>128.14250627811353</v>
      </c>
    </row>
    <row r="29" spans="1:8" s="70" customFormat="1" ht="30.75" customHeight="1">
      <c r="A29" s="92" t="s">
        <v>19</v>
      </c>
      <c r="B29" s="96" t="s">
        <v>289</v>
      </c>
      <c r="C29" s="101"/>
      <c r="D29" s="101">
        <v>179613</v>
      </c>
      <c r="E29" s="101"/>
      <c r="F29" s="101"/>
      <c r="G29" s="100"/>
    </row>
    <row r="30" spans="1:8" s="70" customFormat="1" ht="30.75" customHeight="1">
      <c r="A30" s="92" t="s">
        <v>20</v>
      </c>
      <c r="B30" s="96" t="s">
        <v>203</v>
      </c>
      <c r="C30" s="101"/>
      <c r="D30" s="101">
        <v>9135</v>
      </c>
      <c r="E30" s="101"/>
      <c r="F30" s="101"/>
      <c r="G30" s="100"/>
    </row>
    <row r="31" spans="1:8" ht="7.5" customHeight="1">
      <c r="C31" s="71"/>
      <c r="D31" s="123"/>
      <c r="E31" s="68"/>
    </row>
    <row r="32" spans="1:8" ht="18" customHeight="1">
      <c r="C32" s="68"/>
      <c r="D32" s="124"/>
      <c r="E32" s="68"/>
    </row>
    <row r="33" spans="3:5" ht="18" customHeight="1">
      <c r="C33" s="68"/>
      <c r="D33" s="124"/>
      <c r="E33" s="68"/>
    </row>
    <row r="34" spans="3:5" ht="18" customHeight="1">
      <c r="C34" s="68"/>
      <c r="D34" s="124"/>
      <c r="E34" s="68"/>
    </row>
    <row r="35" spans="3:5" ht="18" customHeight="1">
      <c r="C35" s="68"/>
      <c r="D35" s="124"/>
      <c r="E35" s="68"/>
    </row>
    <row r="36" spans="3:5" ht="18" customHeight="1">
      <c r="C36" s="68"/>
      <c r="D36" s="124"/>
      <c r="E36" s="68"/>
    </row>
    <row r="37" spans="3:5" ht="18" customHeight="1">
      <c r="C37" s="68"/>
      <c r="D37" s="124"/>
      <c r="E37" s="68"/>
    </row>
    <row r="38" spans="3:5" ht="18" customHeight="1">
      <c r="C38" s="68"/>
      <c r="D38" s="124"/>
      <c r="E38" s="68"/>
    </row>
    <row r="39" spans="3:5" ht="18" customHeight="1">
      <c r="C39" s="68"/>
      <c r="D39" s="124"/>
      <c r="E39" s="68"/>
    </row>
    <row r="40" spans="3:5" ht="18" customHeight="1">
      <c r="C40" s="68"/>
      <c r="D40" s="124"/>
      <c r="E40" s="68"/>
    </row>
    <row r="41" spans="3:5" ht="18" customHeight="1">
      <c r="C41" s="68"/>
      <c r="D41" s="124"/>
      <c r="E41" s="68"/>
    </row>
    <row r="42" spans="3:5" ht="18" customHeight="1">
      <c r="C42" s="68"/>
      <c r="D42" s="124"/>
      <c r="E42" s="68"/>
    </row>
    <row r="43" spans="3:5" ht="18" customHeight="1">
      <c r="C43" s="68"/>
      <c r="D43" s="124"/>
      <c r="E43" s="68"/>
    </row>
    <row r="44" spans="3:5" ht="18" customHeight="1">
      <c r="C44" s="68"/>
      <c r="D44" s="124"/>
      <c r="E44" s="68"/>
    </row>
    <row r="45" spans="3:5" ht="18" customHeight="1">
      <c r="C45" s="68"/>
      <c r="D45" s="124"/>
      <c r="E45" s="68"/>
    </row>
    <row r="46" spans="3:5" ht="18" customHeight="1">
      <c r="C46" s="68"/>
      <c r="D46" s="124"/>
      <c r="E46" s="68"/>
    </row>
    <row r="47" spans="3:5" ht="18" customHeight="1">
      <c r="C47" s="68"/>
      <c r="D47" s="124"/>
      <c r="E47" s="68"/>
    </row>
    <row r="48" spans="3:5" ht="18" customHeight="1">
      <c r="C48" s="68"/>
      <c r="D48" s="124"/>
      <c r="E48" s="68"/>
    </row>
    <row r="49" spans="3:5" ht="18" customHeight="1">
      <c r="C49" s="68"/>
      <c r="D49" s="124"/>
      <c r="E49" s="68"/>
    </row>
    <row r="50" spans="3:5" ht="18" customHeight="1">
      <c r="C50" s="68"/>
      <c r="D50" s="124"/>
      <c r="E50" s="68"/>
    </row>
    <row r="51" spans="3:5" ht="18" customHeight="1">
      <c r="C51" s="68"/>
      <c r="D51" s="124"/>
      <c r="E51" s="68"/>
    </row>
    <row r="52" spans="3:5" ht="18" customHeight="1">
      <c r="C52" s="68"/>
      <c r="D52" s="124"/>
      <c r="E52" s="68"/>
    </row>
    <row r="53" spans="3:5" ht="18" customHeight="1">
      <c r="C53" s="68"/>
      <c r="D53" s="124"/>
      <c r="E53" s="68"/>
    </row>
    <row r="54" spans="3:5" ht="18" customHeight="1">
      <c r="C54" s="68"/>
      <c r="D54" s="124"/>
      <c r="E54" s="68"/>
    </row>
    <row r="55" spans="3:5" ht="18" customHeight="1">
      <c r="C55" s="68"/>
      <c r="D55" s="124"/>
      <c r="E55" s="68"/>
    </row>
    <row r="56" spans="3:5" ht="18" customHeight="1">
      <c r="C56" s="68"/>
      <c r="D56" s="124"/>
      <c r="E56" s="68"/>
    </row>
    <row r="57" spans="3:5" ht="18" customHeight="1">
      <c r="C57" s="68"/>
      <c r="D57" s="124"/>
      <c r="E57" s="68"/>
    </row>
    <row r="58" spans="3:5" ht="18" customHeight="1">
      <c r="C58" s="68"/>
      <c r="D58" s="124"/>
      <c r="E58" s="68"/>
    </row>
    <row r="59" spans="3:5" ht="18" customHeight="1">
      <c r="C59" s="68"/>
      <c r="D59" s="124"/>
      <c r="E59" s="68"/>
    </row>
    <row r="60" spans="3:5" ht="18" customHeight="1">
      <c r="C60" s="68"/>
      <c r="D60" s="124"/>
      <c r="E60" s="68"/>
    </row>
    <row r="61" spans="3:5" ht="18" customHeight="1">
      <c r="C61" s="68"/>
      <c r="D61" s="124"/>
      <c r="E61" s="68"/>
    </row>
    <row r="62" spans="3:5" ht="18" customHeight="1">
      <c r="C62" s="68"/>
      <c r="D62" s="124"/>
      <c r="E62" s="68"/>
    </row>
    <row r="63" spans="3:5" ht="18" customHeight="1">
      <c r="C63" s="68"/>
      <c r="D63" s="124"/>
      <c r="E63" s="68"/>
    </row>
    <row r="64" spans="3:5" ht="18" customHeight="1">
      <c r="C64" s="68"/>
      <c r="D64" s="124"/>
      <c r="E64" s="68"/>
    </row>
    <row r="65" spans="3:5" ht="18" customHeight="1">
      <c r="C65" s="68"/>
      <c r="D65" s="124"/>
      <c r="E65" s="68"/>
    </row>
    <row r="66" spans="3:5" ht="18" customHeight="1">
      <c r="C66" s="68"/>
      <c r="D66" s="124"/>
      <c r="E66" s="68"/>
    </row>
    <row r="67" spans="3:5" ht="18" customHeight="1">
      <c r="C67" s="68"/>
      <c r="D67" s="124"/>
      <c r="E67" s="68"/>
    </row>
    <row r="68" spans="3:5" ht="18" customHeight="1">
      <c r="C68" s="68"/>
      <c r="D68" s="124"/>
      <c r="E68" s="68"/>
    </row>
    <row r="69" spans="3:5" ht="18" customHeight="1">
      <c r="C69" s="68"/>
      <c r="D69" s="124"/>
      <c r="E69" s="68"/>
    </row>
    <row r="70" spans="3:5" ht="18" customHeight="1"/>
    <row r="71" spans="3:5" ht="18" customHeight="1"/>
    <row r="72" spans="3:5" ht="18" customHeight="1"/>
    <row r="73" spans="3:5" ht="18" customHeight="1"/>
    <row r="74" spans="3:5" ht="18" customHeight="1"/>
    <row r="75" spans="3:5" ht="18" customHeight="1"/>
    <row r="76" spans="3:5" ht="18" customHeight="1"/>
    <row r="77" spans="3:5" ht="18" customHeight="1"/>
    <row r="78" spans="3:5" ht="18" customHeight="1"/>
    <row r="79" spans="3:5" ht="18" customHeight="1"/>
    <row r="80" spans="3:5" ht="18" customHeight="1"/>
    <row r="81" ht="18" customHeight="1"/>
    <row r="82" ht="18" customHeight="1"/>
    <row r="83" ht="18" customHeight="1"/>
    <row r="84" ht="18" customHeight="1"/>
    <row r="85" ht="18" customHeight="1"/>
  </sheetData>
  <mergeCells count="13">
    <mergeCell ref="A1:B1"/>
    <mergeCell ref="A8:A9"/>
    <mergeCell ref="C8:C9"/>
    <mergeCell ref="D1:F1"/>
    <mergeCell ref="F8:G8"/>
    <mergeCell ref="E7:G7"/>
    <mergeCell ref="B8:B9"/>
    <mergeCell ref="E8:E9"/>
    <mergeCell ref="D8:D9"/>
    <mergeCell ref="E3:G3"/>
    <mergeCell ref="A4:G4"/>
    <mergeCell ref="A5:G5"/>
    <mergeCell ref="A6:G6"/>
  </mergeCells>
  <phoneticPr fontId="3" type="noConversion"/>
  <printOptions horizontalCentered="1"/>
  <pageMargins left="0.5" right="0.5" top="0.5" bottom="0.5" header="0.23622047244094499" footer="0.23622047244094499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88"/>
  <sheetViews>
    <sheetView topLeftCell="A25" workbookViewId="0">
      <selection activeCell="I14" sqref="I14"/>
    </sheetView>
  </sheetViews>
  <sheetFormatPr defaultColWidth="9.140625" defaultRowHeight="18.75"/>
  <cols>
    <col min="1" max="1" width="9.140625" style="15" customWidth="1"/>
    <col min="2" max="2" width="51.42578125" style="15" customWidth="1"/>
    <col min="3" max="3" width="16.5703125" style="15" customWidth="1"/>
    <col min="4" max="4" width="17.7109375" style="15" customWidth="1"/>
    <col min="5" max="5" width="14.7109375" style="218" customWidth="1"/>
    <col min="6" max="6" width="14.5703125" style="15" customWidth="1"/>
    <col min="7" max="7" width="14.42578125" style="15" customWidth="1"/>
    <col min="8" max="8" width="10" style="15" bestFit="1" customWidth="1"/>
    <col min="9" max="9" width="12.7109375" style="15" customWidth="1"/>
    <col min="10" max="16384" width="9.140625" style="15"/>
  </cols>
  <sheetData>
    <row r="1" spans="1:15" ht="18.75" hidden="1" customHeight="1">
      <c r="A1" s="346" t="s">
        <v>68</v>
      </c>
      <c r="B1" s="347"/>
      <c r="C1" s="14"/>
      <c r="D1" s="360" t="s">
        <v>76</v>
      </c>
      <c r="E1" s="360"/>
      <c r="F1" s="360"/>
      <c r="G1" s="360"/>
    </row>
    <row r="2" spans="1:15" ht="18.75" hidden="1" customHeight="1">
      <c r="A2" s="72"/>
      <c r="B2" s="73"/>
      <c r="C2" s="14"/>
      <c r="D2" s="75"/>
      <c r="E2" s="214"/>
      <c r="F2" s="75"/>
      <c r="G2" s="75"/>
    </row>
    <row r="3" spans="1:15" ht="18" customHeight="1">
      <c r="A3" s="145"/>
      <c r="B3" s="146"/>
      <c r="C3" s="147"/>
      <c r="D3" s="148"/>
      <c r="E3" s="368" t="s">
        <v>156</v>
      </c>
      <c r="F3" s="368"/>
      <c r="G3" s="368"/>
    </row>
    <row r="4" spans="1:15" ht="4.5" customHeight="1">
      <c r="A4" s="145"/>
      <c r="B4" s="146"/>
      <c r="C4" s="147"/>
      <c r="D4" s="148"/>
      <c r="E4" s="215"/>
      <c r="F4" s="149"/>
      <c r="G4" s="149"/>
    </row>
    <row r="5" spans="1:15" ht="30.75" customHeight="1">
      <c r="A5" s="361" t="s">
        <v>272</v>
      </c>
      <c r="B5" s="362"/>
      <c r="C5" s="362"/>
      <c r="D5" s="362"/>
      <c r="E5" s="362"/>
      <c r="F5" s="362"/>
      <c r="G5" s="362"/>
    </row>
    <row r="6" spans="1:15" ht="39" hidden="1" customHeight="1">
      <c r="A6" s="358" t="s">
        <v>81</v>
      </c>
      <c r="B6" s="367"/>
      <c r="C6" s="367"/>
      <c r="D6" s="367"/>
      <c r="E6" s="367"/>
      <c r="F6" s="367"/>
      <c r="G6" s="367"/>
    </row>
    <row r="7" spans="1:15" s="60" customFormat="1" ht="25.5" customHeight="1">
      <c r="A7" s="358" t="str">
        <f>'15-CK'!A5:G5</f>
        <v>(Kèm theo Báo cáo số          /BC-UBND ngày       tháng        năm 2022 của Ủy ban nhân dân thị xã Vĩnh Châu)</v>
      </c>
      <c r="B7" s="358"/>
      <c r="C7" s="358"/>
      <c r="D7" s="358"/>
      <c r="E7" s="358"/>
      <c r="F7" s="358"/>
      <c r="G7" s="358"/>
      <c r="H7" s="62"/>
      <c r="I7" s="62"/>
      <c r="J7" s="62"/>
      <c r="K7" s="62"/>
      <c r="L7" s="62"/>
      <c r="M7" s="62"/>
      <c r="N7" s="62"/>
      <c r="O7" s="62"/>
    </row>
    <row r="8" spans="1:15" ht="7.5" customHeight="1">
      <c r="A8" s="359"/>
      <c r="B8" s="359"/>
      <c r="C8" s="359"/>
      <c r="D8" s="359"/>
      <c r="E8" s="359"/>
      <c r="F8" s="359"/>
      <c r="G8" s="359"/>
    </row>
    <row r="9" spans="1:15" ht="24" customHeight="1">
      <c r="A9" s="150"/>
      <c r="B9" s="150"/>
      <c r="C9" s="151"/>
      <c r="D9" s="152"/>
      <c r="E9" s="363" t="s">
        <v>1</v>
      </c>
      <c r="F9" s="363"/>
      <c r="G9" s="364"/>
    </row>
    <row r="10" spans="1:15" s="16" customFormat="1" ht="29.25" customHeight="1">
      <c r="A10" s="365" t="s">
        <v>21</v>
      </c>
      <c r="B10" s="366" t="s">
        <v>6</v>
      </c>
      <c r="C10" s="355" t="s">
        <v>244</v>
      </c>
      <c r="D10" s="355" t="s">
        <v>269</v>
      </c>
      <c r="E10" s="355" t="s">
        <v>258</v>
      </c>
      <c r="F10" s="355" t="s">
        <v>175</v>
      </c>
      <c r="G10" s="355"/>
    </row>
    <row r="11" spans="1:15" s="76" customFormat="1" ht="44.25" customHeight="1">
      <c r="A11" s="365"/>
      <c r="B11" s="355"/>
      <c r="C11" s="355"/>
      <c r="D11" s="365"/>
      <c r="E11" s="355"/>
      <c r="F11" s="153" t="s">
        <v>168</v>
      </c>
      <c r="G11" s="154" t="s">
        <v>169</v>
      </c>
    </row>
    <row r="12" spans="1:15" s="76" customFormat="1" ht="27.75" customHeight="1">
      <c r="A12" s="156" t="s">
        <v>10</v>
      </c>
      <c r="B12" s="156" t="s">
        <v>11</v>
      </c>
      <c r="C12" s="144">
        <v>1</v>
      </c>
      <c r="D12" s="156">
        <v>2</v>
      </c>
      <c r="E12" s="156">
        <v>3</v>
      </c>
      <c r="F12" s="156">
        <v>4</v>
      </c>
      <c r="G12" s="156">
        <v>5</v>
      </c>
    </row>
    <row r="13" spans="1:15" ht="27.75" customHeight="1">
      <c r="A13" s="157" t="s">
        <v>10</v>
      </c>
      <c r="B13" s="158" t="s">
        <v>77</v>
      </c>
      <c r="C13" s="159"/>
      <c r="D13" s="160"/>
      <c r="E13" s="160"/>
      <c r="F13" s="160"/>
      <c r="G13" s="161"/>
    </row>
    <row r="14" spans="1:15" s="16" customFormat="1" ht="27.75" customHeight="1">
      <c r="A14" s="157" t="s">
        <v>12</v>
      </c>
      <c r="B14" s="158" t="s">
        <v>86</v>
      </c>
      <c r="C14" s="313">
        <f>C15+C16</f>
        <v>596998</v>
      </c>
      <c r="D14" s="313">
        <f>SUM(D15:D16,D19:D20)</f>
        <v>896722</v>
      </c>
      <c r="E14" s="313">
        <f>SUM(E15:E16,E19:E20)</f>
        <v>646363</v>
      </c>
      <c r="F14" s="313">
        <f>E14-D14</f>
        <v>-250359</v>
      </c>
      <c r="G14" s="314">
        <f>E14/D14*100</f>
        <v>72.080644837530471</v>
      </c>
      <c r="I14" s="203"/>
    </row>
    <row r="15" spans="1:15" s="17" customFormat="1" ht="27.75" customHeight="1">
      <c r="A15" s="162">
        <v>1</v>
      </c>
      <c r="B15" s="163" t="s">
        <v>78</v>
      </c>
      <c r="C15" s="315">
        <v>50170</v>
      </c>
      <c r="D15" s="315">
        <f>'16-CK'!D10</f>
        <v>70133</v>
      </c>
      <c r="E15" s="315">
        <f>'15-CK'!E12</f>
        <v>56800</v>
      </c>
      <c r="F15" s="316">
        <f t="shared" ref="F15:F19" si="0">E15-D15</f>
        <v>-13333</v>
      </c>
      <c r="G15" s="317">
        <f>E15/D15*100</f>
        <v>80.988978084496594</v>
      </c>
      <c r="I15" s="250"/>
    </row>
    <row r="16" spans="1:15" s="17" customFormat="1" ht="27.75" customHeight="1">
      <c r="A16" s="162">
        <v>2</v>
      </c>
      <c r="B16" s="163" t="s">
        <v>82</v>
      </c>
      <c r="C16" s="316">
        <f>SUM(C17:C18)</f>
        <v>546828</v>
      </c>
      <c r="D16" s="316">
        <f>SUM(D17:D18)</f>
        <v>637841</v>
      </c>
      <c r="E16" s="316">
        <f>SUM(E17:E18)</f>
        <v>589563</v>
      </c>
      <c r="F16" s="316">
        <f t="shared" si="0"/>
        <v>-48278</v>
      </c>
      <c r="G16" s="317">
        <f t="shared" ref="G16:G20" si="1">E16/D16*100</f>
        <v>92.43102904955937</v>
      </c>
    </row>
    <row r="17" spans="1:10" ht="27.75" customHeight="1">
      <c r="A17" s="162"/>
      <c r="B17" s="163" t="s">
        <v>24</v>
      </c>
      <c r="C17" s="315">
        <v>510591</v>
      </c>
      <c r="D17" s="315">
        <v>510591</v>
      </c>
      <c r="E17" s="315">
        <f>'15-CK'!E16</f>
        <v>543128</v>
      </c>
      <c r="F17" s="316">
        <f t="shared" si="0"/>
        <v>32537</v>
      </c>
      <c r="G17" s="317">
        <f t="shared" si="1"/>
        <v>106.37241941201469</v>
      </c>
      <c r="I17" s="19"/>
    </row>
    <row r="18" spans="1:10" ht="27.75" customHeight="1">
      <c r="A18" s="162"/>
      <c r="B18" s="163" t="s">
        <v>25</v>
      </c>
      <c r="C18" s="315">
        <v>36237</v>
      </c>
      <c r="D18" s="315">
        <v>127250</v>
      </c>
      <c r="E18" s="315">
        <f>'15-CK'!E17</f>
        <v>46435</v>
      </c>
      <c r="F18" s="316">
        <f t="shared" si="0"/>
        <v>-80815</v>
      </c>
      <c r="G18" s="317">
        <f t="shared" si="1"/>
        <v>36.491159135559919</v>
      </c>
    </row>
    <row r="19" spans="1:10" s="16" customFormat="1" ht="27.75" customHeight="1">
      <c r="A19" s="162">
        <v>3</v>
      </c>
      <c r="B19" s="163" t="s">
        <v>28</v>
      </c>
      <c r="C19" s="315"/>
      <c r="D19" s="315">
        <v>9135</v>
      </c>
      <c r="E19" s="315"/>
      <c r="F19" s="316">
        <f t="shared" si="0"/>
        <v>-9135</v>
      </c>
      <c r="G19" s="317">
        <f t="shared" si="1"/>
        <v>0</v>
      </c>
      <c r="H19" s="203"/>
      <c r="I19" s="203"/>
    </row>
    <row r="20" spans="1:10" s="16" customFormat="1" ht="27.75" customHeight="1">
      <c r="A20" s="162">
        <v>4</v>
      </c>
      <c r="B20" s="165" t="s">
        <v>30</v>
      </c>
      <c r="C20" s="315">
        <v>0</v>
      </c>
      <c r="D20" s="315">
        <v>179613</v>
      </c>
      <c r="E20" s="315">
        <f>'[1]15-CK'!E21</f>
        <v>0</v>
      </c>
      <c r="F20" s="316">
        <f>E20-D20</f>
        <v>-179613</v>
      </c>
      <c r="G20" s="317">
        <f t="shared" si="1"/>
        <v>0</v>
      </c>
    </row>
    <row r="21" spans="1:10" s="16" customFormat="1" ht="27.75" customHeight="1">
      <c r="A21" s="157" t="s">
        <v>17</v>
      </c>
      <c r="B21" s="158" t="s">
        <v>83</v>
      </c>
      <c r="C21" s="318">
        <f>SUM(C22:C23,C26,C27)</f>
        <v>591808</v>
      </c>
      <c r="D21" s="318">
        <f>SUM(D22:D23,D26,D27)</f>
        <v>827436</v>
      </c>
      <c r="E21" s="318">
        <f>SUM(E22:E23,E26)</f>
        <v>641263</v>
      </c>
      <c r="F21" s="318">
        <f>E21-C21</f>
        <v>49455</v>
      </c>
      <c r="G21" s="314">
        <f t="shared" ref="G21:G24" si="2">E21/C21*100</f>
        <v>108.35659538228614</v>
      </c>
      <c r="H21" s="203"/>
      <c r="I21" s="203"/>
      <c r="J21" s="203"/>
    </row>
    <row r="22" spans="1:10" s="16" customFormat="1" ht="27.75" customHeight="1">
      <c r="A22" s="162">
        <v>1</v>
      </c>
      <c r="B22" s="166" t="s">
        <v>79</v>
      </c>
      <c r="C22" s="315">
        <v>538550</v>
      </c>
      <c r="D22" s="315">
        <v>549504</v>
      </c>
      <c r="E22" s="315">
        <f>E14-E23-E30</f>
        <v>586475</v>
      </c>
      <c r="F22" s="315">
        <f t="shared" ref="F22:F26" si="3">E22-C22</f>
        <v>47925</v>
      </c>
      <c r="G22" s="317">
        <f>E22/C22*100</f>
        <v>108.89889518150591</v>
      </c>
      <c r="I22" s="203"/>
    </row>
    <row r="23" spans="1:10" s="16" customFormat="1" ht="27.75" customHeight="1">
      <c r="A23" s="162">
        <v>2</v>
      </c>
      <c r="B23" s="163" t="s">
        <v>84</v>
      </c>
      <c r="C23" s="316">
        <f>SUM(C24:C25)</f>
        <v>53258</v>
      </c>
      <c r="D23" s="316">
        <f>SUM(D24:D25)</f>
        <v>95717</v>
      </c>
      <c r="E23" s="316">
        <f>SUM(E24:E25)</f>
        <v>54788</v>
      </c>
      <c r="F23" s="315">
        <f t="shared" si="3"/>
        <v>1530</v>
      </c>
      <c r="G23" s="319">
        <f t="shared" si="2"/>
        <v>102.87280784107551</v>
      </c>
      <c r="H23" s="203"/>
    </row>
    <row r="24" spans="1:10" s="17" customFormat="1" ht="27.75" customHeight="1">
      <c r="A24" s="164"/>
      <c r="B24" s="163" t="s">
        <v>36</v>
      </c>
      <c r="C24" s="315">
        <v>45052</v>
      </c>
      <c r="D24" s="315">
        <v>45052</v>
      </c>
      <c r="E24" s="315">
        <f>'39-CK'!G8</f>
        <v>45748</v>
      </c>
      <c r="F24" s="315">
        <f>E24-C24</f>
        <v>696</v>
      </c>
      <c r="G24" s="317">
        <f t="shared" si="2"/>
        <v>101.54488147030098</v>
      </c>
    </row>
    <row r="25" spans="1:10" s="17" customFormat="1" ht="27.75" customHeight="1">
      <c r="A25" s="164"/>
      <c r="B25" s="163" t="s">
        <v>37</v>
      </c>
      <c r="C25" s="315">
        <v>8206</v>
      </c>
      <c r="D25" s="315">
        <v>50665</v>
      </c>
      <c r="E25" s="315">
        <f>'42'!C9</f>
        <v>9040</v>
      </c>
      <c r="F25" s="315">
        <f t="shared" si="3"/>
        <v>834</v>
      </c>
      <c r="G25" s="317"/>
    </row>
    <row r="26" spans="1:10" ht="27.75" customHeight="1">
      <c r="A26" s="162">
        <v>3</v>
      </c>
      <c r="B26" s="163" t="s">
        <v>35</v>
      </c>
      <c r="C26" s="315"/>
      <c r="D26" s="315">
        <v>178223</v>
      </c>
      <c r="E26" s="315"/>
      <c r="F26" s="320">
        <f t="shared" si="3"/>
        <v>0</v>
      </c>
      <c r="G26" s="317"/>
    </row>
    <row r="27" spans="1:10" ht="27.75" customHeight="1">
      <c r="A27" s="162">
        <v>4</v>
      </c>
      <c r="B27" s="163" t="s">
        <v>209</v>
      </c>
      <c r="C27" s="315"/>
      <c r="D27" s="315">
        <v>3992</v>
      </c>
      <c r="E27" s="315"/>
      <c r="F27" s="315"/>
      <c r="G27" s="317"/>
    </row>
    <row r="28" spans="1:10" s="16" customFormat="1" ht="27.75" customHeight="1">
      <c r="A28" s="157" t="s">
        <v>11</v>
      </c>
      <c r="B28" s="158" t="s">
        <v>85</v>
      </c>
      <c r="C28" s="313"/>
      <c r="D28" s="313"/>
      <c r="E28" s="313"/>
      <c r="F28" s="313"/>
      <c r="G28" s="314"/>
    </row>
    <row r="29" spans="1:10" s="16" customFormat="1" ht="27.75" customHeight="1">
      <c r="A29" s="157" t="s">
        <v>12</v>
      </c>
      <c r="B29" s="158" t="s">
        <v>86</v>
      </c>
      <c r="C29" s="313">
        <f>SUM(C30:C31,C34:C35)</f>
        <v>58448</v>
      </c>
      <c r="D29" s="313">
        <f>SUM(D30:D31,D34:D35)</f>
        <v>107440</v>
      </c>
      <c r="E29" s="313">
        <f>SUM(E30:E31,E34:E35)</f>
        <v>59888</v>
      </c>
      <c r="F29" s="313">
        <f>E29-D29</f>
        <v>-47552</v>
      </c>
      <c r="G29" s="321">
        <f>E29/D29*100</f>
        <v>55.740878629932986</v>
      </c>
    </row>
    <row r="30" spans="1:10" s="18" customFormat="1" ht="27.75" customHeight="1">
      <c r="A30" s="162">
        <v>1</v>
      </c>
      <c r="B30" s="163" t="s">
        <v>3</v>
      </c>
      <c r="C30" s="315">
        <v>5190</v>
      </c>
      <c r="D30" s="315">
        <v>5190</v>
      </c>
      <c r="E30" s="315">
        <v>5100</v>
      </c>
      <c r="F30" s="316">
        <f t="shared" ref="F30:F35" si="4">E30-D30</f>
        <v>-90</v>
      </c>
      <c r="G30" s="319">
        <f t="shared" ref="G30:G35" si="5">E30/D30*100</f>
        <v>98.265895953757223</v>
      </c>
    </row>
    <row r="31" spans="1:10" s="18" customFormat="1" ht="27.75" customHeight="1">
      <c r="A31" s="162">
        <v>2</v>
      </c>
      <c r="B31" s="163" t="s">
        <v>80</v>
      </c>
      <c r="C31" s="316">
        <v>53258</v>
      </c>
      <c r="D31" s="316">
        <v>95717</v>
      </c>
      <c r="E31" s="316">
        <v>54788</v>
      </c>
      <c r="F31" s="316">
        <f t="shared" si="4"/>
        <v>-40929</v>
      </c>
      <c r="G31" s="319">
        <f t="shared" si="5"/>
        <v>57.239570818140983</v>
      </c>
      <c r="H31" s="204"/>
      <c r="I31" s="204"/>
    </row>
    <row r="32" spans="1:10" s="18" customFormat="1" ht="27.75" customHeight="1">
      <c r="A32" s="162"/>
      <c r="B32" s="163" t="s">
        <v>2</v>
      </c>
      <c r="C32" s="315">
        <v>45052</v>
      </c>
      <c r="D32" s="315">
        <v>45052</v>
      </c>
      <c r="E32" s="315">
        <v>45748</v>
      </c>
      <c r="F32" s="316">
        <f t="shared" si="4"/>
        <v>696</v>
      </c>
      <c r="G32" s="319">
        <f t="shared" si="5"/>
        <v>101.54488147030098</v>
      </c>
      <c r="I32" s="204"/>
    </row>
    <row r="33" spans="1:7" s="18" customFormat="1" ht="27.75" customHeight="1">
      <c r="A33" s="162"/>
      <c r="B33" s="163" t="s">
        <v>25</v>
      </c>
      <c r="C33" s="315">
        <v>8206</v>
      </c>
      <c r="D33" s="315">
        <v>50665</v>
      </c>
      <c r="E33" s="315">
        <v>9040</v>
      </c>
      <c r="F33" s="316">
        <f t="shared" si="4"/>
        <v>-41625</v>
      </c>
      <c r="G33" s="319"/>
    </row>
    <row r="34" spans="1:7" s="18" customFormat="1" ht="27.75" customHeight="1">
      <c r="A34" s="162">
        <v>3</v>
      </c>
      <c r="B34" s="163" t="s">
        <v>28</v>
      </c>
      <c r="C34" s="315"/>
      <c r="D34" s="315">
        <v>5143</v>
      </c>
      <c r="E34" s="315"/>
      <c r="F34" s="316">
        <f t="shared" si="4"/>
        <v>-5143</v>
      </c>
      <c r="G34" s="320">
        <f t="shared" si="5"/>
        <v>0</v>
      </c>
    </row>
    <row r="35" spans="1:7" s="18" customFormat="1" ht="27.75" customHeight="1">
      <c r="A35" s="162">
        <v>4</v>
      </c>
      <c r="B35" s="165" t="s">
        <v>30</v>
      </c>
      <c r="C35" s="315"/>
      <c r="D35" s="315">
        <v>1390</v>
      </c>
      <c r="E35" s="315"/>
      <c r="F35" s="316">
        <f t="shared" si="4"/>
        <v>-1390</v>
      </c>
      <c r="G35" s="320">
        <f t="shared" si="5"/>
        <v>0</v>
      </c>
    </row>
    <row r="36" spans="1:7" s="18" customFormat="1" ht="27.75" customHeight="1">
      <c r="A36" s="157" t="s">
        <v>17</v>
      </c>
      <c r="B36" s="167" t="s">
        <v>83</v>
      </c>
      <c r="C36" s="318">
        <v>59406</v>
      </c>
      <c r="D36" s="318">
        <v>102584</v>
      </c>
      <c r="E36" s="318">
        <f>E29</f>
        <v>59888</v>
      </c>
      <c r="F36" s="318">
        <f>E36-C36</f>
        <v>482</v>
      </c>
      <c r="G36" s="321">
        <f>E36/C36*100</f>
        <v>100.81136585530082</v>
      </c>
    </row>
    <row r="37" spans="1:7" ht="15.75" customHeight="1">
      <c r="A37" s="150"/>
      <c r="B37" s="150"/>
      <c r="C37" s="155"/>
      <c r="D37" s="155"/>
      <c r="E37" s="216"/>
      <c r="F37" s="155"/>
      <c r="G37" s="150"/>
    </row>
    <row r="38" spans="1:7" ht="18" customHeight="1">
      <c r="C38" s="19"/>
      <c r="D38" s="19"/>
      <c r="E38" s="217"/>
      <c r="F38" s="19"/>
    </row>
    <row r="39" spans="1:7" ht="18" customHeight="1">
      <c r="C39" s="19"/>
      <c r="D39" s="19"/>
      <c r="E39" s="217"/>
      <c r="F39" s="19"/>
    </row>
    <row r="40" spans="1:7" ht="18" customHeight="1">
      <c r="C40" s="19"/>
      <c r="D40" s="19"/>
      <c r="E40" s="217"/>
      <c r="F40" s="19"/>
    </row>
    <row r="41" spans="1:7" ht="18" customHeight="1">
      <c r="C41" s="19"/>
      <c r="D41" s="19"/>
      <c r="E41" s="217"/>
      <c r="F41" s="19"/>
    </row>
    <row r="42" spans="1:7" ht="18" customHeight="1">
      <c r="C42" s="19"/>
      <c r="D42" s="19"/>
      <c r="E42" s="217"/>
      <c r="F42" s="19"/>
    </row>
    <row r="43" spans="1:7" ht="18" customHeight="1">
      <c r="C43" s="19"/>
      <c r="D43" s="19"/>
      <c r="E43" s="217"/>
      <c r="F43" s="19"/>
    </row>
    <row r="44" spans="1:7" ht="18" customHeight="1">
      <c r="C44" s="19"/>
      <c r="D44" s="19"/>
      <c r="E44" s="217"/>
      <c r="F44" s="19"/>
    </row>
    <row r="45" spans="1:7" ht="18" customHeight="1">
      <c r="C45" s="19"/>
      <c r="D45" s="19"/>
      <c r="E45" s="217"/>
      <c r="F45" s="19"/>
    </row>
    <row r="46" spans="1:7" ht="18" customHeight="1">
      <c r="C46" s="19"/>
      <c r="D46" s="19"/>
      <c r="E46" s="217"/>
      <c r="F46" s="19"/>
    </row>
    <row r="47" spans="1:7" ht="18" customHeight="1">
      <c r="C47" s="19"/>
      <c r="D47" s="19"/>
      <c r="E47" s="217"/>
      <c r="F47" s="19"/>
    </row>
    <row r="48" spans="1:7" ht="18" customHeight="1">
      <c r="C48" s="19"/>
      <c r="D48" s="19"/>
      <c r="E48" s="217"/>
      <c r="F48" s="19"/>
    </row>
    <row r="49" spans="3:6" ht="18" customHeight="1">
      <c r="C49" s="19"/>
      <c r="D49" s="19"/>
      <c r="E49" s="217"/>
      <c r="F49" s="19"/>
    </row>
    <row r="50" spans="3:6" ht="18" customHeight="1">
      <c r="C50" s="19"/>
      <c r="D50" s="19"/>
      <c r="E50" s="217"/>
      <c r="F50" s="19"/>
    </row>
    <row r="51" spans="3:6" ht="18" customHeight="1">
      <c r="C51" s="19"/>
      <c r="D51" s="19"/>
      <c r="E51" s="217"/>
      <c r="F51" s="19"/>
    </row>
    <row r="52" spans="3:6" ht="18" customHeight="1">
      <c r="C52" s="19"/>
      <c r="D52" s="19"/>
      <c r="E52" s="217"/>
      <c r="F52" s="19"/>
    </row>
    <row r="53" spans="3:6" ht="18" customHeight="1">
      <c r="C53" s="19"/>
      <c r="D53" s="19"/>
      <c r="E53" s="217"/>
      <c r="F53" s="19"/>
    </row>
    <row r="54" spans="3:6" ht="18" customHeight="1">
      <c r="C54" s="19"/>
      <c r="D54" s="19"/>
      <c r="E54" s="217"/>
      <c r="F54" s="19"/>
    </row>
    <row r="55" spans="3:6" ht="18" customHeight="1">
      <c r="C55" s="19"/>
      <c r="D55" s="19"/>
      <c r="E55" s="217"/>
      <c r="F55" s="19"/>
    </row>
    <row r="56" spans="3:6" ht="18" customHeight="1">
      <c r="C56" s="19"/>
      <c r="D56" s="19"/>
      <c r="E56" s="217"/>
      <c r="F56" s="19"/>
    </row>
    <row r="57" spans="3:6" ht="18" customHeight="1">
      <c r="C57" s="19"/>
      <c r="D57" s="19"/>
      <c r="E57" s="217"/>
      <c r="F57" s="19"/>
    </row>
    <row r="58" spans="3:6" ht="18" customHeight="1">
      <c r="C58" s="19"/>
      <c r="D58" s="19"/>
      <c r="E58" s="217"/>
      <c r="F58" s="19"/>
    </row>
    <row r="59" spans="3:6" ht="18" customHeight="1">
      <c r="C59" s="19"/>
      <c r="D59" s="19"/>
      <c r="E59" s="217"/>
      <c r="F59" s="19"/>
    </row>
    <row r="60" spans="3:6" ht="18" customHeight="1">
      <c r="C60" s="19"/>
      <c r="D60" s="19"/>
      <c r="E60" s="217"/>
      <c r="F60" s="19"/>
    </row>
    <row r="61" spans="3:6" ht="18" customHeight="1">
      <c r="C61" s="19"/>
      <c r="D61" s="19"/>
      <c r="E61" s="217"/>
      <c r="F61" s="19"/>
    </row>
    <row r="62" spans="3:6" ht="18" customHeight="1">
      <c r="C62" s="19"/>
      <c r="D62" s="19"/>
      <c r="E62" s="217"/>
      <c r="F62" s="19"/>
    </row>
    <row r="63" spans="3:6" ht="18" customHeight="1">
      <c r="C63" s="19"/>
      <c r="D63" s="19"/>
      <c r="E63" s="217"/>
      <c r="F63" s="19"/>
    </row>
    <row r="64" spans="3:6" ht="18" customHeight="1">
      <c r="C64" s="19"/>
      <c r="D64" s="19"/>
      <c r="E64" s="217"/>
      <c r="F64" s="19"/>
    </row>
    <row r="65" spans="3:6" ht="18" customHeight="1">
      <c r="C65" s="19"/>
      <c r="D65" s="19"/>
      <c r="E65" s="217"/>
      <c r="F65" s="19"/>
    </row>
    <row r="66" spans="3:6" ht="18" customHeight="1">
      <c r="C66" s="19"/>
      <c r="D66" s="19"/>
      <c r="E66" s="217"/>
      <c r="F66" s="19"/>
    </row>
    <row r="67" spans="3:6" ht="18" customHeight="1">
      <c r="C67" s="19"/>
      <c r="D67" s="19"/>
      <c r="E67" s="217"/>
      <c r="F67" s="19"/>
    </row>
    <row r="68" spans="3:6" ht="18" customHeight="1">
      <c r="C68" s="19"/>
      <c r="D68" s="19"/>
      <c r="E68" s="217"/>
      <c r="F68" s="19"/>
    </row>
    <row r="69" spans="3:6" ht="18" customHeight="1">
      <c r="C69" s="19"/>
      <c r="D69" s="19"/>
      <c r="E69" s="217"/>
      <c r="F69" s="19"/>
    </row>
    <row r="70" spans="3:6" ht="18" customHeight="1">
      <c r="C70" s="19"/>
      <c r="D70" s="19"/>
      <c r="E70" s="217"/>
      <c r="F70" s="19"/>
    </row>
    <row r="71" spans="3:6" ht="18" customHeight="1">
      <c r="C71" s="19"/>
      <c r="D71" s="19"/>
      <c r="E71" s="217"/>
      <c r="F71" s="19"/>
    </row>
    <row r="72" spans="3:6" ht="18" customHeight="1">
      <c r="C72" s="19"/>
      <c r="D72" s="19"/>
      <c r="E72" s="217"/>
      <c r="F72" s="19"/>
    </row>
    <row r="73" spans="3:6" ht="18" customHeight="1"/>
    <row r="74" spans="3:6" ht="18" customHeight="1"/>
    <row r="75" spans="3:6" ht="18" customHeight="1"/>
    <row r="76" spans="3:6" ht="18" customHeight="1"/>
    <row r="77" spans="3:6" ht="18" customHeight="1"/>
    <row r="78" spans="3:6" ht="18" customHeight="1"/>
    <row r="79" spans="3:6" ht="18" customHeight="1"/>
    <row r="80" spans="3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</sheetData>
  <mergeCells count="14">
    <mergeCell ref="D1:G1"/>
    <mergeCell ref="A1:B1"/>
    <mergeCell ref="A5:G5"/>
    <mergeCell ref="C10:C11"/>
    <mergeCell ref="A8:G8"/>
    <mergeCell ref="E10:E11"/>
    <mergeCell ref="E9:G9"/>
    <mergeCell ref="A10:A11"/>
    <mergeCell ref="B10:B11"/>
    <mergeCell ref="A7:G7"/>
    <mergeCell ref="D10:D11"/>
    <mergeCell ref="A6:G6"/>
    <mergeCell ref="E3:G3"/>
    <mergeCell ref="F10:G10"/>
  </mergeCells>
  <phoneticPr fontId="3" type="noConversion"/>
  <printOptions horizontalCentered="1"/>
  <pageMargins left="0.5" right="0.5" top="0.5" bottom="0.5" header="0.23622047244094499" footer="0.23622047244094499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2"/>
  <sheetViews>
    <sheetView topLeftCell="A13" workbookViewId="0">
      <selection activeCell="K21" sqref="K21"/>
    </sheetView>
  </sheetViews>
  <sheetFormatPr defaultColWidth="9.140625" defaultRowHeight="16.5"/>
  <cols>
    <col min="1" max="1" width="5.42578125" style="133" customWidth="1"/>
    <col min="2" max="2" width="30.42578125" style="130" customWidth="1"/>
    <col min="3" max="4" width="9.7109375" style="130" customWidth="1"/>
    <col min="5" max="5" width="9.7109375" style="23" customWidth="1"/>
    <col min="6" max="6" width="9.7109375" style="130" customWidth="1"/>
    <col min="7" max="7" width="8.7109375" style="130" customWidth="1"/>
    <col min="8" max="8" width="10" style="130" customWidth="1"/>
    <col min="9" max="9" width="11.5703125" style="130" customWidth="1"/>
    <col min="10" max="16384" width="9.140625" style="130"/>
  </cols>
  <sheetData>
    <row r="1" spans="1:16" ht="21" customHeight="1">
      <c r="A1" s="128"/>
      <c r="B1" s="129"/>
      <c r="E1" s="209"/>
      <c r="F1" s="369" t="s">
        <v>155</v>
      </c>
      <c r="G1" s="369"/>
      <c r="H1" s="369"/>
    </row>
    <row r="2" spans="1:16" ht="26.25" customHeight="1">
      <c r="A2" s="379" t="s">
        <v>259</v>
      </c>
      <c r="B2" s="379"/>
      <c r="C2" s="379"/>
      <c r="D2" s="379"/>
      <c r="E2" s="379"/>
      <c r="F2" s="379"/>
      <c r="G2" s="379"/>
      <c r="H2" s="379"/>
    </row>
    <row r="3" spans="1:16" ht="36.75" hidden="1" customHeight="1">
      <c r="A3" s="376" t="s">
        <v>38</v>
      </c>
      <c r="B3" s="376"/>
      <c r="C3" s="376"/>
      <c r="D3" s="376"/>
      <c r="E3" s="376"/>
      <c r="F3" s="376"/>
      <c r="G3" s="376"/>
      <c r="H3" s="376"/>
    </row>
    <row r="4" spans="1:16" s="132" customFormat="1" ht="47.25" customHeight="1">
      <c r="A4" s="378" t="s">
        <v>297</v>
      </c>
      <c r="B4" s="378"/>
      <c r="C4" s="378"/>
      <c r="D4" s="378"/>
      <c r="E4" s="378"/>
      <c r="F4" s="378"/>
      <c r="G4" s="378"/>
      <c r="H4" s="378"/>
      <c r="I4" s="114"/>
      <c r="J4" s="114"/>
      <c r="K4" s="114"/>
      <c r="L4" s="114"/>
      <c r="M4" s="114"/>
      <c r="N4" s="114"/>
      <c r="O4" s="114"/>
      <c r="P4" s="114"/>
    </row>
    <row r="5" spans="1:16" ht="17.100000000000001" customHeight="1">
      <c r="C5" s="131"/>
      <c r="D5" s="131"/>
      <c r="E5" s="209"/>
      <c r="F5" s="377" t="s">
        <v>9</v>
      </c>
      <c r="G5" s="377"/>
      <c r="H5" s="377"/>
    </row>
    <row r="6" spans="1:16" ht="6.95" customHeight="1">
      <c r="C6" s="131"/>
      <c r="D6" s="131"/>
      <c r="E6" s="209"/>
      <c r="F6" s="131"/>
      <c r="G6" s="134"/>
      <c r="H6" s="135"/>
    </row>
    <row r="7" spans="1:16" s="136" customFormat="1" ht="43.15" customHeight="1">
      <c r="A7" s="374" t="s">
        <v>21</v>
      </c>
      <c r="B7" s="374" t="s">
        <v>6</v>
      </c>
      <c r="C7" s="370" t="s">
        <v>257</v>
      </c>
      <c r="D7" s="371"/>
      <c r="E7" s="372" t="s">
        <v>260</v>
      </c>
      <c r="F7" s="373"/>
      <c r="G7" s="372" t="s">
        <v>42</v>
      </c>
      <c r="H7" s="373"/>
    </row>
    <row r="8" spans="1:16" s="136" customFormat="1" ht="65.25" customHeight="1">
      <c r="A8" s="375"/>
      <c r="B8" s="375"/>
      <c r="C8" s="210" t="s">
        <v>39</v>
      </c>
      <c r="D8" s="210" t="s">
        <v>87</v>
      </c>
      <c r="E8" s="210" t="s">
        <v>39</v>
      </c>
      <c r="F8" s="137" t="s">
        <v>87</v>
      </c>
      <c r="G8" s="137" t="s">
        <v>39</v>
      </c>
      <c r="H8" s="137" t="s">
        <v>88</v>
      </c>
    </row>
    <row r="9" spans="1:16" s="136" customFormat="1" ht="30" customHeight="1">
      <c r="A9" s="25" t="s">
        <v>10</v>
      </c>
      <c r="B9" s="25" t="s">
        <v>11</v>
      </c>
      <c r="C9" s="211">
        <v>5</v>
      </c>
      <c r="D9" s="211">
        <v>6</v>
      </c>
      <c r="E9" s="211">
        <v>3</v>
      </c>
      <c r="F9" s="25">
        <v>4</v>
      </c>
      <c r="G9" s="25" t="s">
        <v>40</v>
      </c>
      <c r="H9" s="25" t="s">
        <v>41</v>
      </c>
    </row>
    <row r="10" spans="1:16" s="138" customFormat="1" ht="30" customHeight="1">
      <c r="A10" s="168"/>
      <c r="B10" s="169" t="s">
        <v>39</v>
      </c>
      <c r="C10" s="240">
        <f>C11+C16+C17+C18+C19+C20+C21+C22</f>
        <v>77371</v>
      </c>
      <c r="D10" s="240">
        <f>D11+D16+D17+D18+D19+D20+D21+D22</f>
        <v>70133</v>
      </c>
      <c r="E10" s="240">
        <f t="shared" ref="E10:F10" si="0">E11+E16+E17+E18+E19+E20+E21+E22</f>
        <v>65000</v>
      </c>
      <c r="F10" s="240">
        <f t="shared" si="0"/>
        <v>56800</v>
      </c>
      <c r="G10" s="170">
        <f>E10/C10*100</f>
        <v>84.010805082007465</v>
      </c>
      <c r="H10" s="170">
        <f t="shared" ref="H10:H21" si="1">F10/D10*100</f>
        <v>80.988978084496594</v>
      </c>
    </row>
    <row r="11" spans="1:16" s="136" customFormat="1" ht="39.75" customHeight="1">
      <c r="A11" s="171">
        <v>1</v>
      </c>
      <c r="B11" s="172" t="s">
        <v>43</v>
      </c>
      <c r="C11" s="213">
        <f>SUM(C12:C16)</f>
        <v>16308</v>
      </c>
      <c r="D11" s="213">
        <f>SUM(D12:D16)</f>
        <v>16270</v>
      </c>
      <c r="E11" s="212">
        <f>SUM(E12:E16)</f>
        <v>16500</v>
      </c>
      <c r="F11" s="173">
        <f>SUM(F12:F15)</f>
        <v>16400</v>
      </c>
      <c r="G11" s="174">
        <f>E11/C11*100</f>
        <v>101.17733627667403</v>
      </c>
      <c r="H11" s="174">
        <f t="shared" si="1"/>
        <v>100.79901659496005</v>
      </c>
    </row>
    <row r="12" spans="1:16" s="136" customFormat="1" ht="30" customHeight="1">
      <c r="A12" s="175" t="s">
        <v>22</v>
      </c>
      <c r="B12" s="172" t="s">
        <v>234</v>
      </c>
      <c r="C12" s="241">
        <v>2900</v>
      </c>
      <c r="D12" s="241">
        <f>C12</f>
        <v>2900</v>
      </c>
      <c r="E12" s="213">
        <v>3000</v>
      </c>
      <c r="F12" s="173">
        <f>E12</f>
        <v>3000</v>
      </c>
      <c r="G12" s="174">
        <f t="shared" ref="G12:G21" si="2">E12/C12*100</f>
        <v>103.44827586206897</v>
      </c>
      <c r="H12" s="174">
        <f t="shared" si="1"/>
        <v>103.44827586206897</v>
      </c>
    </row>
    <row r="13" spans="1:16" s="136" customFormat="1" ht="30" customHeight="1">
      <c r="A13" s="175" t="s">
        <v>22</v>
      </c>
      <c r="B13" s="172" t="s">
        <v>235</v>
      </c>
      <c r="C13" s="241">
        <v>13370</v>
      </c>
      <c r="D13" s="241">
        <f t="shared" ref="D13" si="3">C13</f>
        <v>13370</v>
      </c>
      <c r="E13" s="213">
        <v>13400</v>
      </c>
      <c r="F13" s="173">
        <f>E13</f>
        <v>13400</v>
      </c>
      <c r="G13" s="174">
        <f t="shared" si="2"/>
        <v>100.22438294689604</v>
      </c>
      <c r="H13" s="174">
        <f t="shared" si="1"/>
        <v>100.22438294689604</v>
      </c>
    </row>
    <row r="14" spans="1:16" s="136" customFormat="1" ht="30" customHeight="1">
      <c r="A14" s="175" t="s">
        <v>22</v>
      </c>
      <c r="B14" s="172" t="s">
        <v>236</v>
      </c>
      <c r="C14" s="241">
        <v>20</v>
      </c>
      <c r="D14" s="241"/>
      <c r="E14" s="212">
        <v>50</v>
      </c>
      <c r="F14" s="173"/>
      <c r="G14" s="174">
        <f t="shared" si="2"/>
        <v>250</v>
      </c>
      <c r="H14" s="174"/>
    </row>
    <row r="15" spans="1:16" s="136" customFormat="1" ht="30" customHeight="1">
      <c r="A15" s="175" t="s">
        <v>22</v>
      </c>
      <c r="B15" s="172" t="s">
        <v>237</v>
      </c>
      <c r="C15" s="241">
        <v>18</v>
      </c>
      <c r="D15" s="241"/>
      <c r="E15" s="212">
        <v>50</v>
      </c>
      <c r="F15" s="173"/>
      <c r="G15" s="174">
        <f t="shared" si="2"/>
        <v>277.77777777777777</v>
      </c>
      <c r="H15" s="174"/>
    </row>
    <row r="16" spans="1:16" s="136" customFormat="1" ht="30" customHeight="1">
      <c r="A16" s="175" t="s">
        <v>22</v>
      </c>
      <c r="B16" s="172" t="s">
        <v>238</v>
      </c>
      <c r="C16" s="213"/>
      <c r="D16" s="213">
        <f t="shared" ref="D16:D17" si="4">C16</f>
        <v>0</v>
      </c>
      <c r="E16" s="212"/>
      <c r="F16" s="173"/>
      <c r="G16" s="174"/>
      <c r="H16" s="174"/>
    </row>
    <row r="17" spans="1:18" s="136" customFormat="1" ht="30" customHeight="1">
      <c r="A17" s="171">
        <v>2</v>
      </c>
      <c r="B17" s="172" t="s">
        <v>45</v>
      </c>
      <c r="C17" s="213">
        <v>25000</v>
      </c>
      <c r="D17" s="213">
        <f t="shared" si="4"/>
        <v>25000</v>
      </c>
      <c r="E17" s="212">
        <v>12000</v>
      </c>
      <c r="F17" s="173">
        <f t="shared" ref="F17:F21" si="5">E17</f>
        <v>12000</v>
      </c>
      <c r="G17" s="174">
        <f t="shared" si="2"/>
        <v>48</v>
      </c>
      <c r="H17" s="174">
        <f t="shared" ref="H17:H18" si="6">F17/D17*100</f>
        <v>48</v>
      </c>
    </row>
    <row r="18" spans="1:18" s="136" customFormat="1" ht="30" customHeight="1">
      <c r="A18" s="171">
        <v>3</v>
      </c>
      <c r="B18" s="172" t="s">
        <v>44</v>
      </c>
      <c r="C18" s="213">
        <v>15200</v>
      </c>
      <c r="D18" s="213">
        <v>15200</v>
      </c>
      <c r="E18" s="212">
        <v>15000</v>
      </c>
      <c r="F18" s="173">
        <f t="shared" si="5"/>
        <v>15000</v>
      </c>
      <c r="G18" s="174">
        <f t="shared" si="2"/>
        <v>98.68421052631578</v>
      </c>
      <c r="H18" s="174">
        <f t="shared" si="6"/>
        <v>98.68421052631578</v>
      </c>
    </row>
    <row r="19" spans="1:18" s="139" customFormat="1" ht="30" customHeight="1">
      <c r="A19" s="171">
        <v>4</v>
      </c>
      <c r="B19" s="172" t="s">
        <v>46</v>
      </c>
      <c r="C19" s="213">
        <v>2700</v>
      </c>
      <c r="D19" s="213">
        <v>1300</v>
      </c>
      <c r="E19" s="212">
        <v>2500</v>
      </c>
      <c r="F19" s="173">
        <v>1200</v>
      </c>
      <c r="G19" s="174">
        <f t="shared" si="2"/>
        <v>92.592592592592595</v>
      </c>
      <c r="H19" s="174">
        <f t="shared" si="1"/>
        <v>92.307692307692307</v>
      </c>
      <c r="I19" s="136"/>
      <c r="J19" s="136"/>
      <c r="K19" s="136"/>
      <c r="L19" s="136"/>
      <c r="M19" s="136"/>
      <c r="N19" s="136"/>
      <c r="O19" s="136"/>
      <c r="P19" s="136"/>
      <c r="Q19" s="136"/>
      <c r="R19" s="136"/>
    </row>
    <row r="20" spans="1:18" s="136" customFormat="1" ht="30" customHeight="1">
      <c r="A20" s="171">
        <v>5</v>
      </c>
      <c r="B20" s="172" t="s">
        <v>89</v>
      </c>
      <c r="C20" s="213">
        <v>14500</v>
      </c>
      <c r="D20" s="213">
        <f>C20*0.6</f>
        <v>8700</v>
      </c>
      <c r="E20" s="212">
        <v>17000</v>
      </c>
      <c r="F20" s="173">
        <f>E20*0.6</f>
        <v>10200</v>
      </c>
      <c r="G20" s="174">
        <f t="shared" si="2"/>
        <v>117.24137931034481</v>
      </c>
      <c r="H20" s="174">
        <f t="shared" si="1"/>
        <v>117.24137931034481</v>
      </c>
    </row>
    <row r="21" spans="1:18" s="136" customFormat="1" ht="30" customHeight="1">
      <c r="A21" s="171">
        <v>6</v>
      </c>
      <c r="B21" s="172" t="s">
        <v>90</v>
      </c>
      <c r="C21" s="213">
        <v>2000</v>
      </c>
      <c r="D21" s="213">
        <f>C21</f>
        <v>2000</v>
      </c>
      <c r="E21" s="212">
        <v>2000</v>
      </c>
      <c r="F21" s="173">
        <f t="shared" si="5"/>
        <v>2000</v>
      </c>
      <c r="G21" s="174">
        <f t="shared" si="2"/>
        <v>100</v>
      </c>
      <c r="H21" s="174">
        <f t="shared" si="1"/>
        <v>100</v>
      </c>
    </row>
    <row r="22" spans="1:18" ht="24.75" customHeight="1">
      <c r="A22" s="171">
        <v>7</v>
      </c>
      <c r="B22" s="207" t="s">
        <v>243</v>
      </c>
      <c r="C22" s="173">
        <v>1663</v>
      </c>
      <c r="D22" s="208">
        <f>C22</f>
        <v>1663</v>
      </c>
      <c r="E22" s="39"/>
      <c r="F22" s="206"/>
      <c r="G22" s="206"/>
      <c r="H22" s="206"/>
    </row>
    <row r="24" spans="1:18">
      <c r="C24" s="140"/>
    </row>
    <row r="26" spans="1:18">
      <c r="B26" s="141"/>
    </row>
    <row r="27" spans="1:18">
      <c r="B27" s="141"/>
    </row>
    <row r="28" spans="1:18">
      <c r="B28" s="141"/>
    </row>
    <row r="29" spans="1:18">
      <c r="B29" s="141"/>
    </row>
    <row r="30" spans="1:18">
      <c r="B30" s="141"/>
    </row>
    <row r="31" spans="1:18">
      <c r="B31" s="141"/>
    </row>
    <row r="32" spans="1:18">
      <c r="B32" s="141"/>
    </row>
  </sheetData>
  <mergeCells count="10">
    <mergeCell ref="F1:H1"/>
    <mergeCell ref="C7:D7"/>
    <mergeCell ref="E7:F7"/>
    <mergeCell ref="A7:A8"/>
    <mergeCell ref="G7:H7"/>
    <mergeCell ref="A3:H3"/>
    <mergeCell ref="B7:B8"/>
    <mergeCell ref="F5:H5"/>
    <mergeCell ref="A4:H4"/>
    <mergeCell ref="A2:H2"/>
  </mergeCells>
  <phoneticPr fontId="0" type="noConversion"/>
  <printOptions horizontalCentered="1"/>
  <pageMargins left="0.5" right="0.5" top="0.5" bottom="0.5" header="0.15748031496063" footer="7.8740157480315001E-2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3"/>
  <sheetViews>
    <sheetView topLeftCell="A31" workbookViewId="0">
      <selection activeCell="H6" sqref="H6"/>
    </sheetView>
  </sheetViews>
  <sheetFormatPr defaultColWidth="9.140625" defaultRowHeight="18" customHeight="1"/>
  <cols>
    <col min="1" max="1" width="8.140625" style="234" customWidth="1"/>
    <col min="2" max="2" width="53.5703125" style="234" customWidth="1"/>
    <col min="3" max="3" width="14.7109375" style="234" customWidth="1"/>
    <col min="4" max="4" width="13.7109375" style="219" customWidth="1"/>
    <col min="5" max="5" width="13.42578125" style="234" customWidth="1"/>
    <col min="6" max="6" width="14.28515625" style="234" customWidth="1"/>
    <col min="7" max="7" width="10.5703125" style="234" bestFit="1" customWidth="1"/>
    <col min="8" max="8" width="12.42578125" style="234" customWidth="1"/>
    <col min="9" max="16384" width="9.140625" style="234"/>
  </cols>
  <sheetData>
    <row r="1" spans="1:15" ht="17.25" customHeight="1">
      <c r="E1" s="382" t="s">
        <v>187</v>
      </c>
      <c r="F1" s="382"/>
    </row>
    <row r="2" spans="1:15" s="235" customFormat="1" ht="24" customHeight="1">
      <c r="A2" s="383" t="s">
        <v>271</v>
      </c>
      <c r="B2" s="383"/>
      <c r="C2" s="383"/>
      <c r="D2" s="383"/>
      <c r="E2" s="383"/>
      <c r="F2" s="383"/>
    </row>
    <row r="3" spans="1:15" s="132" customFormat="1" ht="42.75" customHeight="1">
      <c r="A3" s="378" t="s">
        <v>298</v>
      </c>
      <c r="B3" s="378"/>
      <c r="C3" s="378"/>
      <c r="D3" s="378"/>
      <c r="E3" s="378"/>
      <c r="F3" s="378"/>
      <c r="G3" s="236"/>
      <c r="H3" s="114"/>
      <c r="I3" s="114"/>
      <c r="J3" s="114"/>
      <c r="K3" s="114"/>
      <c r="L3" s="114"/>
      <c r="M3" s="114"/>
      <c r="N3" s="114"/>
      <c r="O3" s="114"/>
    </row>
    <row r="4" spans="1:15" ht="23.25" customHeight="1">
      <c r="A4" s="111"/>
      <c r="B4" s="111"/>
      <c r="C4" s="111"/>
      <c r="E4" s="384" t="s">
        <v>240</v>
      </c>
      <c r="F4" s="384"/>
    </row>
    <row r="5" spans="1:15" ht="23.25" customHeight="1">
      <c r="A5" s="385" t="s">
        <v>21</v>
      </c>
      <c r="B5" s="385" t="s">
        <v>6</v>
      </c>
      <c r="C5" s="386" t="s">
        <v>242</v>
      </c>
      <c r="D5" s="387" t="s">
        <v>260</v>
      </c>
      <c r="E5" s="385" t="s">
        <v>171</v>
      </c>
      <c r="F5" s="385"/>
    </row>
    <row r="6" spans="1:15" ht="38.25" customHeight="1">
      <c r="A6" s="385"/>
      <c r="B6" s="385"/>
      <c r="C6" s="386"/>
      <c r="D6" s="387"/>
      <c r="E6" s="245" t="s">
        <v>168</v>
      </c>
      <c r="F6" s="245" t="s">
        <v>172</v>
      </c>
    </row>
    <row r="7" spans="1:15" ht="28.5" customHeight="1">
      <c r="A7" s="103" t="s">
        <v>10</v>
      </c>
      <c r="B7" s="103" t="s">
        <v>11</v>
      </c>
      <c r="C7" s="103">
        <v>1</v>
      </c>
      <c r="D7" s="220">
        <v>2</v>
      </c>
      <c r="E7" s="112" t="s">
        <v>174</v>
      </c>
      <c r="F7" s="112" t="s">
        <v>173</v>
      </c>
    </row>
    <row r="8" spans="1:15" s="235" customFormat="1" ht="28.5" customHeight="1">
      <c r="A8" s="380" t="s">
        <v>170</v>
      </c>
      <c r="B8" s="381"/>
      <c r="C8" s="104">
        <v>540759</v>
      </c>
      <c r="D8" s="1">
        <f>D9+D26</f>
        <v>591575</v>
      </c>
      <c r="E8" s="104">
        <f t="shared" ref="E8:E11" si="0">D8-C8</f>
        <v>50816</v>
      </c>
      <c r="F8" s="105">
        <f>D8/C8*100</f>
        <v>109.39716213692236</v>
      </c>
      <c r="G8" s="237"/>
      <c r="H8" s="237"/>
    </row>
    <row r="9" spans="1:15" s="235" customFormat="1" ht="28.5" customHeight="1">
      <c r="A9" s="245" t="s">
        <v>10</v>
      </c>
      <c r="B9" s="106" t="s">
        <v>141</v>
      </c>
      <c r="C9" s="113">
        <v>504522</v>
      </c>
      <c r="D9" s="221">
        <f>D10+D12+D24+D25</f>
        <v>545140</v>
      </c>
      <c r="E9" s="104">
        <f t="shared" si="0"/>
        <v>40618</v>
      </c>
      <c r="F9" s="105">
        <f t="shared" ref="F9:F22" si="1">D9/C9*100</f>
        <v>108.05078866729301</v>
      </c>
      <c r="G9" s="237"/>
      <c r="H9" s="237"/>
      <c r="I9" s="237"/>
    </row>
    <row r="10" spans="1:15" s="235" customFormat="1" ht="28.5" customHeight="1">
      <c r="A10" s="245" t="s">
        <v>12</v>
      </c>
      <c r="B10" s="106" t="s">
        <v>31</v>
      </c>
      <c r="C10" s="104">
        <v>41505</v>
      </c>
      <c r="D10" s="1">
        <f>D11</f>
        <v>43103</v>
      </c>
      <c r="E10" s="104">
        <f t="shared" si="0"/>
        <v>1598</v>
      </c>
      <c r="F10" s="105">
        <f t="shared" si="1"/>
        <v>103.85013853752561</v>
      </c>
      <c r="G10" s="237"/>
      <c r="I10" s="237"/>
    </row>
    <row r="11" spans="1:15" ht="28.5" customHeight="1">
      <c r="A11" s="103">
        <v>1</v>
      </c>
      <c r="B11" s="107" t="s">
        <v>47</v>
      </c>
      <c r="C11" s="108">
        <v>41505</v>
      </c>
      <c r="D11" s="222">
        <f>'15-CK'!E22</f>
        <v>43103</v>
      </c>
      <c r="E11" s="108">
        <f t="shared" si="0"/>
        <v>1598</v>
      </c>
      <c r="F11" s="110">
        <f t="shared" si="1"/>
        <v>103.85013853752561</v>
      </c>
    </row>
    <row r="12" spans="1:15" s="235" customFormat="1" ht="28.5" customHeight="1">
      <c r="A12" s="245" t="s">
        <v>17</v>
      </c>
      <c r="B12" s="106" t="s">
        <v>4</v>
      </c>
      <c r="C12" s="104">
        <v>451562</v>
      </c>
      <c r="D12" s="1">
        <f>SUM(D14:D23)</f>
        <v>483065</v>
      </c>
      <c r="E12" s="104">
        <f t="shared" ref="E12:E25" si="2">D12-C12</f>
        <v>31503</v>
      </c>
      <c r="F12" s="105">
        <f t="shared" si="1"/>
        <v>106.97645063136403</v>
      </c>
    </row>
    <row r="13" spans="1:15" ht="28.5" customHeight="1">
      <c r="A13" s="103"/>
      <c r="B13" s="109" t="s">
        <v>48</v>
      </c>
      <c r="C13" s="104"/>
      <c r="D13" s="222"/>
      <c r="E13" s="104"/>
      <c r="F13" s="105"/>
    </row>
    <row r="14" spans="1:15" s="238" customFormat="1" ht="28.5" customHeight="1">
      <c r="A14" s="103">
        <v>1</v>
      </c>
      <c r="B14" s="107" t="s">
        <v>49</v>
      </c>
      <c r="C14" s="108">
        <v>321367</v>
      </c>
      <c r="D14" s="222">
        <f>'34'!D29+'37'!E12</f>
        <v>333884</v>
      </c>
      <c r="E14" s="108">
        <f t="shared" si="2"/>
        <v>12517</v>
      </c>
      <c r="F14" s="110">
        <f t="shared" si="1"/>
        <v>103.89492387208395</v>
      </c>
    </row>
    <row r="15" spans="1:15" s="238" customFormat="1" ht="28.5" customHeight="1">
      <c r="A15" s="103">
        <v>2</v>
      </c>
      <c r="B15" s="107" t="s">
        <v>117</v>
      </c>
      <c r="C15" s="108">
        <v>2227</v>
      </c>
      <c r="D15" s="222">
        <f>'34'!D31</f>
        <v>2227</v>
      </c>
      <c r="E15" s="108">
        <f t="shared" ref="E15:E24" si="3">D15-C15</f>
        <v>0</v>
      </c>
      <c r="F15" s="110">
        <f t="shared" si="1"/>
        <v>100</v>
      </c>
    </row>
    <row r="16" spans="1:15" s="238" customFormat="1" ht="28.5" customHeight="1">
      <c r="A16" s="103">
        <f t="shared" ref="A16:A22" si="4">A15+1</f>
        <v>3</v>
      </c>
      <c r="B16" s="107" t="s">
        <v>263</v>
      </c>
      <c r="C16" s="108">
        <v>2758</v>
      </c>
      <c r="D16" s="222">
        <f>'34'!D32</f>
        <v>3856</v>
      </c>
      <c r="E16" s="108">
        <f t="shared" si="3"/>
        <v>1098</v>
      </c>
      <c r="F16" s="110">
        <f t="shared" si="1"/>
        <v>139.81145757795503</v>
      </c>
    </row>
    <row r="17" spans="1:6" s="238" customFormat="1" ht="28.5" customHeight="1">
      <c r="A17" s="103">
        <f t="shared" si="4"/>
        <v>4</v>
      </c>
      <c r="B17" s="107" t="s">
        <v>59</v>
      </c>
      <c r="C17" s="108">
        <v>8836</v>
      </c>
      <c r="D17" s="222">
        <f>'34'!D33</f>
        <v>8212</v>
      </c>
      <c r="E17" s="108">
        <f t="shared" si="3"/>
        <v>-624</v>
      </c>
      <c r="F17" s="110">
        <f t="shared" si="1"/>
        <v>92.937980986871892</v>
      </c>
    </row>
    <row r="18" spans="1:6" s="238" customFormat="1" ht="28.5" customHeight="1">
      <c r="A18" s="103">
        <f t="shared" si="4"/>
        <v>5</v>
      </c>
      <c r="B18" s="107" t="s">
        <v>60</v>
      </c>
      <c r="C18" s="108">
        <v>41136</v>
      </c>
      <c r="D18" s="222">
        <f>'37'!J12</f>
        <v>49136</v>
      </c>
      <c r="E18" s="108">
        <f t="shared" si="3"/>
        <v>8000</v>
      </c>
      <c r="F18" s="110">
        <f t="shared" si="1"/>
        <v>119.44768572539869</v>
      </c>
    </row>
    <row r="19" spans="1:6" s="238" customFormat="1" ht="38.25" customHeight="1">
      <c r="A19" s="103">
        <f t="shared" si="4"/>
        <v>6</v>
      </c>
      <c r="B19" s="107" t="s">
        <v>61</v>
      </c>
      <c r="C19" s="108">
        <v>34854</v>
      </c>
      <c r="D19" s="222">
        <f>'34'!D35</f>
        <v>38045</v>
      </c>
      <c r="E19" s="108">
        <f t="shared" si="3"/>
        <v>3191</v>
      </c>
      <c r="F19" s="110">
        <f t="shared" si="1"/>
        <v>109.15533367762666</v>
      </c>
    </row>
    <row r="20" spans="1:6" s="238" customFormat="1" ht="28.5" customHeight="1">
      <c r="A20" s="103">
        <f t="shared" si="4"/>
        <v>7</v>
      </c>
      <c r="B20" s="107" t="s">
        <v>0</v>
      </c>
      <c r="C20" s="108">
        <v>35095</v>
      </c>
      <c r="D20" s="222">
        <f>'34'!D36</f>
        <v>43580</v>
      </c>
      <c r="E20" s="108">
        <f t="shared" si="3"/>
        <v>8485</v>
      </c>
      <c r="F20" s="110">
        <f t="shared" si="1"/>
        <v>124.17723322410599</v>
      </c>
    </row>
    <row r="21" spans="1:6" s="238" customFormat="1" ht="28.5" customHeight="1">
      <c r="A21" s="103">
        <f t="shared" si="4"/>
        <v>8</v>
      </c>
      <c r="B21" s="107" t="s">
        <v>108</v>
      </c>
      <c r="C21" s="108">
        <v>2679</v>
      </c>
      <c r="D21" s="222">
        <f>'34'!D37</f>
        <v>2679</v>
      </c>
      <c r="E21" s="108">
        <f t="shared" si="3"/>
        <v>0</v>
      </c>
      <c r="F21" s="110">
        <f t="shared" si="1"/>
        <v>100</v>
      </c>
    </row>
    <row r="22" spans="1:6" s="238" customFormat="1" ht="28.5" customHeight="1">
      <c r="A22" s="103">
        <f t="shared" si="4"/>
        <v>9</v>
      </c>
      <c r="B22" s="107" t="s">
        <v>109</v>
      </c>
      <c r="C22" s="108">
        <v>446</v>
      </c>
      <c r="D22" s="222">
        <f>'34'!D38</f>
        <v>446</v>
      </c>
      <c r="E22" s="108">
        <f t="shared" si="3"/>
        <v>0</v>
      </c>
      <c r="F22" s="110">
        <f t="shared" si="1"/>
        <v>100</v>
      </c>
    </row>
    <row r="23" spans="1:6" s="239" customFormat="1" ht="28.5" customHeight="1">
      <c r="A23" s="231">
        <v>11</v>
      </c>
      <c r="B23" s="232" t="s">
        <v>190</v>
      </c>
      <c r="C23" s="222">
        <v>1000</v>
      </c>
      <c r="D23" s="222">
        <f>'34'!D39</f>
        <v>1000</v>
      </c>
      <c r="E23" s="222"/>
      <c r="F23" s="233"/>
    </row>
    <row r="24" spans="1:6" s="235" customFormat="1" ht="28.5" customHeight="1">
      <c r="A24" s="245" t="s">
        <v>19</v>
      </c>
      <c r="B24" s="106" t="s">
        <v>139</v>
      </c>
      <c r="C24" s="104">
        <v>11455</v>
      </c>
      <c r="D24" s="1">
        <f>'15-CK'!E24</f>
        <v>11763</v>
      </c>
      <c r="E24" s="104">
        <f t="shared" si="3"/>
        <v>308</v>
      </c>
      <c r="F24" s="105">
        <f>D24/C24*100</f>
        <v>102.6887821911829</v>
      </c>
    </row>
    <row r="25" spans="1:6" s="235" customFormat="1" ht="28.5" customHeight="1">
      <c r="A25" s="245" t="s">
        <v>20</v>
      </c>
      <c r="B25" s="106" t="s">
        <v>204</v>
      </c>
      <c r="C25" s="104">
        <v>0</v>
      </c>
      <c r="D25" s="1">
        <f>'15-CK'!E25</f>
        <v>7209</v>
      </c>
      <c r="E25" s="104">
        <f t="shared" si="2"/>
        <v>7209</v>
      </c>
      <c r="F25" s="105"/>
    </row>
    <row r="26" spans="1:6" s="235" customFormat="1" ht="28.5" customHeight="1">
      <c r="A26" s="245" t="s">
        <v>11</v>
      </c>
      <c r="B26" s="106" t="s">
        <v>140</v>
      </c>
      <c r="C26" s="104">
        <v>36237</v>
      </c>
      <c r="D26" s="1">
        <f>D27+D28</f>
        <v>46435</v>
      </c>
      <c r="E26" s="104">
        <f>D26-C26</f>
        <v>10198</v>
      </c>
      <c r="F26" s="105">
        <f t="shared" ref="F26:F42" si="5">D26/C26*100</f>
        <v>128.14250627811353</v>
      </c>
    </row>
    <row r="27" spans="1:6" s="235" customFormat="1" ht="28.5" customHeight="1">
      <c r="A27" s="245" t="s">
        <v>12</v>
      </c>
      <c r="B27" s="106" t="s">
        <v>33</v>
      </c>
      <c r="C27" s="104"/>
      <c r="D27" s="1"/>
      <c r="E27" s="104"/>
      <c r="F27" s="105"/>
    </row>
    <row r="28" spans="1:6" s="235" customFormat="1" ht="28.5" customHeight="1">
      <c r="A28" s="245" t="s">
        <v>17</v>
      </c>
      <c r="B28" s="106" t="s">
        <v>34</v>
      </c>
      <c r="C28" s="104">
        <v>36237</v>
      </c>
      <c r="D28" s="1">
        <f>D29</f>
        <v>46435</v>
      </c>
      <c r="E28" s="104"/>
      <c r="F28" s="105">
        <f t="shared" si="5"/>
        <v>128.14250627811353</v>
      </c>
    </row>
    <row r="29" spans="1:6" s="235" customFormat="1" ht="42.75" customHeight="1">
      <c r="A29" s="245">
        <v>1</v>
      </c>
      <c r="B29" s="106" t="s">
        <v>197</v>
      </c>
      <c r="C29" s="104">
        <v>36050</v>
      </c>
      <c r="D29" s="104">
        <f>SUM(D30:D40)</f>
        <v>46435</v>
      </c>
      <c r="E29" s="104">
        <f t="shared" ref="E29:E30" si="6">D29-C29</f>
        <v>10385</v>
      </c>
      <c r="F29" s="105">
        <f t="shared" si="5"/>
        <v>128.80721220527045</v>
      </c>
    </row>
    <row r="30" spans="1:6" s="248" customFormat="1" ht="28.5" customHeight="1">
      <c r="A30" s="231" t="s">
        <v>232</v>
      </c>
      <c r="B30" s="232" t="s">
        <v>239</v>
      </c>
      <c r="C30" s="222"/>
      <c r="D30" s="222">
        <v>10100</v>
      </c>
      <c r="E30" s="222">
        <f t="shared" si="6"/>
        <v>10100</v>
      </c>
      <c r="F30" s="247"/>
    </row>
    <row r="31" spans="1:6" s="248" customFormat="1" ht="28.5" customHeight="1">
      <c r="A31" s="231" t="s">
        <v>232</v>
      </c>
      <c r="B31" s="232" t="s">
        <v>291</v>
      </c>
      <c r="C31" s="222"/>
      <c r="D31" s="222">
        <v>3390</v>
      </c>
      <c r="E31" s="222">
        <f t="shared" ref="E31:E43" si="7">D31-C31</f>
        <v>3390</v>
      </c>
      <c r="F31" s="247"/>
    </row>
    <row r="32" spans="1:6" s="248" customFormat="1" ht="28.5" customHeight="1">
      <c r="A32" s="231" t="s">
        <v>232</v>
      </c>
      <c r="B32" s="232" t="s">
        <v>265</v>
      </c>
      <c r="C32" s="222"/>
      <c r="D32" s="222">
        <v>3295</v>
      </c>
      <c r="E32" s="222">
        <f t="shared" si="7"/>
        <v>3295</v>
      </c>
      <c r="F32" s="247"/>
    </row>
    <row r="33" spans="1:6" s="248" customFormat="1" ht="28.5" customHeight="1">
      <c r="A33" s="231" t="s">
        <v>232</v>
      </c>
      <c r="B33" s="232" t="s">
        <v>266</v>
      </c>
      <c r="C33" s="222"/>
      <c r="D33" s="222">
        <v>14750</v>
      </c>
      <c r="E33" s="222">
        <f t="shared" si="7"/>
        <v>14750</v>
      </c>
      <c r="F33" s="247"/>
    </row>
    <row r="34" spans="1:6" s="248" customFormat="1" ht="28.5" customHeight="1">
      <c r="A34" s="231" t="s">
        <v>232</v>
      </c>
      <c r="B34" s="232" t="s">
        <v>267</v>
      </c>
      <c r="C34" s="222"/>
      <c r="D34" s="222">
        <v>14900</v>
      </c>
      <c r="E34" s="222">
        <f t="shared" si="7"/>
        <v>14900</v>
      </c>
      <c r="F34" s="247"/>
    </row>
    <row r="35" spans="1:6" s="248" customFormat="1" ht="28.5" customHeight="1">
      <c r="A35" s="231" t="s">
        <v>232</v>
      </c>
      <c r="B35" s="232" t="s">
        <v>292</v>
      </c>
      <c r="C35" s="222">
        <v>3545</v>
      </c>
      <c r="D35" s="222"/>
      <c r="E35" s="222"/>
      <c r="F35" s="247"/>
    </row>
    <row r="36" spans="1:6" s="248" customFormat="1" ht="28.5" customHeight="1">
      <c r="A36" s="231" t="s">
        <v>232</v>
      </c>
      <c r="B36" s="232" t="s">
        <v>293</v>
      </c>
      <c r="C36" s="222">
        <v>3700</v>
      </c>
      <c r="D36" s="222"/>
      <c r="E36" s="222"/>
      <c r="F36" s="247"/>
    </row>
    <row r="37" spans="1:6" s="248" customFormat="1" ht="28.5" customHeight="1">
      <c r="A37" s="231" t="s">
        <v>232</v>
      </c>
      <c r="B37" s="232" t="s">
        <v>251</v>
      </c>
      <c r="C37" s="222">
        <v>1700</v>
      </c>
      <c r="D37" s="222"/>
      <c r="E37" s="222"/>
      <c r="F37" s="247"/>
    </row>
    <row r="38" spans="1:6" s="248" customFormat="1" ht="28.5" customHeight="1">
      <c r="A38" s="231" t="s">
        <v>232</v>
      </c>
      <c r="B38" s="232" t="s">
        <v>253</v>
      </c>
      <c r="C38" s="222">
        <v>9105</v>
      </c>
      <c r="D38" s="222"/>
      <c r="E38" s="222"/>
      <c r="F38" s="247"/>
    </row>
    <row r="39" spans="1:6" s="248" customFormat="1" ht="28.5" customHeight="1">
      <c r="A39" s="231" t="s">
        <v>232</v>
      </c>
      <c r="B39" s="232" t="s">
        <v>291</v>
      </c>
      <c r="C39" s="222">
        <v>9000</v>
      </c>
      <c r="D39" s="222"/>
      <c r="E39" s="222"/>
      <c r="F39" s="247"/>
    </row>
    <row r="40" spans="1:6" s="248" customFormat="1" ht="28.5" customHeight="1">
      <c r="A40" s="231" t="s">
        <v>232</v>
      </c>
      <c r="B40" s="232" t="s">
        <v>265</v>
      </c>
      <c r="C40" s="222">
        <v>9000</v>
      </c>
      <c r="D40" s="222"/>
      <c r="E40" s="222"/>
      <c r="F40" s="247"/>
    </row>
    <row r="41" spans="1:6" s="235" customFormat="1" ht="44.25" customHeight="1">
      <c r="A41" s="245">
        <v>2</v>
      </c>
      <c r="B41" s="106" t="s">
        <v>198</v>
      </c>
      <c r="C41" s="104">
        <v>187</v>
      </c>
      <c r="D41" s="104">
        <f t="shared" ref="D41:F41" si="8">D42</f>
        <v>0</v>
      </c>
      <c r="E41" s="104">
        <f t="shared" si="8"/>
        <v>-187</v>
      </c>
      <c r="F41" s="104">
        <f t="shared" si="8"/>
        <v>0</v>
      </c>
    </row>
    <row r="42" spans="1:6" s="235" customFormat="1" ht="28.5" customHeight="1">
      <c r="A42" s="103" t="s">
        <v>132</v>
      </c>
      <c r="B42" s="107" t="s">
        <v>199</v>
      </c>
      <c r="C42" s="108">
        <v>187</v>
      </c>
      <c r="D42" s="222">
        <f>SUM(D43:D43)</f>
        <v>0</v>
      </c>
      <c r="E42" s="108">
        <f>SUM(E43:E43)</f>
        <v>-187</v>
      </c>
      <c r="F42" s="110">
        <f t="shared" si="5"/>
        <v>0</v>
      </c>
    </row>
    <row r="43" spans="1:6" s="235" customFormat="1" ht="31.5" customHeight="1">
      <c r="A43" s="103" t="s">
        <v>254</v>
      </c>
      <c r="B43" s="107" t="s">
        <v>216</v>
      </c>
      <c r="C43" s="108">
        <v>187</v>
      </c>
      <c r="D43" s="222"/>
      <c r="E43" s="108">
        <f t="shared" si="7"/>
        <v>-187</v>
      </c>
      <c r="F43" s="110"/>
    </row>
  </sheetData>
  <mergeCells count="10">
    <mergeCell ref="A8:B8"/>
    <mergeCell ref="E1:F1"/>
    <mergeCell ref="A2:F2"/>
    <mergeCell ref="A3:F3"/>
    <mergeCell ref="E4:F4"/>
    <mergeCell ref="A5:A6"/>
    <mergeCell ref="B5:B6"/>
    <mergeCell ref="C5:C6"/>
    <mergeCell ref="D5:D6"/>
    <mergeCell ref="E5:F5"/>
  </mergeCells>
  <printOptions horizontalCentered="1"/>
  <pageMargins left="0.5" right="0.5" top="0.5" bottom="0.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I42"/>
  <sheetViews>
    <sheetView workbookViewId="0">
      <selection activeCell="H10" sqref="H10"/>
    </sheetView>
  </sheetViews>
  <sheetFormatPr defaultColWidth="9.140625" defaultRowHeight="18" customHeight="1"/>
  <cols>
    <col min="1" max="1" width="7.140625" style="21" customWidth="1"/>
    <col min="2" max="2" width="49.28515625" style="21" customWidth="1"/>
    <col min="3" max="3" width="13" style="21" customWidth="1"/>
    <col min="4" max="4" width="14.28515625" style="21" customWidth="1"/>
    <col min="5" max="5" width="10.5703125" style="21" customWidth="1"/>
    <col min="6" max="7" width="9.5703125" style="21" bestFit="1" customWidth="1"/>
    <col min="8" max="16384" width="9.140625" style="21"/>
  </cols>
  <sheetData>
    <row r="1" spans="1:19" ht="20.25" customHeight="1">
      <c r="D1" s="390" t="s">
        <v>191</v>
      </c>
      <c r="E1" s="390"/>
    </row>
    <row r="2" spans="1:19" s="22" customFormat="1" ht="20.25" customHeight="1">
      <c r="A2" s="391" t="s">
        <v>179</v>
      </c>
      <c r="B2" s="391"/>
      <c r="C2" s="391"/>
      <c r="D2" s="391"/>
      <c r="E2" s="391"/>
    </row>
    <row r="3" spans="1:19" s="22" customFormat="1" ht="20.25" customHeight="1">
      <c r="A3" s="391" t="s">
        <v>270</v>
      </c>
      <c r="B3" s="391"/>
      <c r="C3" s="391"/>
      <c r="D3" s="391"/>
      <c r="E3" s="391"/>
    </row>
    <row r="4" spans="1:19" s="60" customFormat="1" ht="41.25" customHeight="1">
      <c r="A4" s="358" t="s">
        <v>295</v>
      </c>
      <c r="B4" s="358"/>
      <c r="C4" s="358"/>
      <c r="D4" s="358"/>
      <c r="E4" s="358"/>
      <c r="F4" s="117"/>
      <c r="G4" s="117"/>
      <c r="H4" s="115"/>
      <c r="I4" s="115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ht="23.25" customHeight="1">
      <c r="D5" s="392" t="s">
        <v>240</v>
      </c>
      <c r="E5" s="392"/>
    </row>
    <row r="6" spans="1:19" s="23" customFormat="1" ht="25.5" customHeight="1">
      <c r="A6" s="388" t="s">
        <v>21</v>
      </c>
      <c r="B6" s="388" t="s">
        <v>6</v>
      </c>
      <c r="C6" s="389" t="s">
        <v>180</v>
      </c>
      <c r="D6" s="388" t="s">
        <v>181</v>
      </c>
      <c r="E6" s="388"/>
    </row>
    <row r="7" spans="1:19" s="23" customFormat="1" ht="47.25" customHeight="1">
      <c r="A7" s="388"/>
      <c r="B7" s="388"/>
      <c r="C7" s="389"/>
      <c r="D7" s="24" t="s">
        <v>77</v>
      </c>
      <c r="E7" s="24" t="s">
        <v>182</v>
      </c>
    </row>
    <row r="8" spans="1:19" s="23" customFormat="1" ht="25.5" customHeight="1">
      <c r="A8" s="25" t="s">
        <v>10</v>
      </c>
      <c r="B8" s="25" t="s">
        <v>11</v>
      </c>
      <c r="C8" s="26" t="s">
        <v>183</v>
      </c>
      <c r="D8" s="26">
        <v>2</v>
      </c>
      <c r="E8" s="26">
        <v>3</v>
      </c>
    </row>
    <row r="9" spans="1:19" s="30" customFormat="1" ht="27" customHeight="1">
      <c r="A9" s="27"/>
      <c r="B9" s="28" t="s">
        <v>170</v>
      </c>
      <c r="C9" s="29">
        <f>C10+C34</f>
        <v>651463</v>
      </c>
      <c r="D9" s="29">
        <f>D10+D34</f>
        <v>591575</v>
      </c>
      <c r="E9" s="29">
        <f>E10+E34</f>
        <v>59888</v>
      </c>
      <c r="F9" s="200"/>
      <c r="G9" s="200"/>
      <c r="H9" s="200"/>
    </row>
    <row r="10" spans="1:19" s="30" customFormat="1" ht="24.95" customHeight="1">
      <c r="A10" s="27" t="s">
        <v>10</v>
      </c>
      <c r="B10" s="28" t="s">
        <v>141</v>
      </c>
      <c r="C10" s="29">
        <f>C11+C20+C32+C33</f>
        <v>605028</v>
      </c>
      <c r="D10" s="29">
        <f>D11+D20+D32+D33</f>
        <v>545140</v>
      </c>
      <c r="E10" s="29">
        <f>E11+E20+E32</f>
        <v>59888</v>
      </c>
      <c r="G10" s="200"/>
    </row>
    <row r="11" spans="1:19" s="30" customFormat="1" ht="24.95" customHeight="1">
      <c r="A11" s="27" t="s">
        <v>12</v>
      </c>
      <c r="B11" s="28" t="s">
        <v>31</v>
      </c>
      <c r="C11" s="29">
        <f>D11+E11</f>
        <v>43103</v>
      </c>
      <c r="D11" s="29">
        <f>'15-CK'!E22</f>
        <v>43103</v>
      </c>
      <c r="E11" s="31"/>
    </row>
    <row r="12" spans="1:19" s="23" customFormat="1" ht="21.95" hidden="1" customHeight="1">
      <c r="A12" s="25">
        <v>1</v>
      </c>
      <c r="B12" s="32" t="s">
        <v>47</v>
      </c>
      <c r="C12" s="33">
        <f t="shared" ref="C12:C31" ca="1" si="0">+D12+E12</f>
        <v>0</v>
      </c>
      <c r="D12" s="29">
        <f ca="1">C12-#REF!</f>
        <v>97643.460000000021</v>
      </c>
      <c r="E12" s="31">
        <f ca="1">C12/#REF!*100</f>
        <v>126.90643703499586</v>
      </c>
    </row>
    <row r="13" spans="1:19" s="23" customFormat="1" ht="21.95" hidden="1" customHeight="1">
      <c r="A13" s="25"/>
      <c r="B13" s="32" t="s">
        <v>135</v>
      </c>
      <c r="C13" s="33">
        <f t="shared" ca="1" si="0"/>
        <v>0</v>
      </c>
      <c r="D13" s="29">
        <f ca="1">C13-#REF!</f>
        <v>97643.460000000021</v>
      </c>
      <c r="E13" s="31">
        <f ca="1">C13/#REF!*100</f>
        <v>126.90643703499586</v>
      </c>
    </row>
    <row r="14" spans="1:19" s="23" customFormat="1" ht="21.95" hidden="1" customHeight="1">
      <c r="A14" s="25" t="s">
        <v>22</v>
      </c>
      <c r="B14" s="34" t="s">
        <v>136</v>
      </c>
      <c r="C14" s="35">
        <f t="shared" ca="1" si="0"/>
        <v>0</v>
      </c>
      <c r="D14" s="29">
        <f ca="1">C14-#REF!</f>
        <v>97643.460000000021</v>
      </c>
      <c r="E14" s="31">
        <f ca="1">C14/#REF!*100</f>
        <v>126.90643703499586</v>
      </c>
    </row>
    <row r="15" spans="1:19" s="23" customFormat="1" ht="21.95" hidden="1" customHeight="1">
      <c r="A15" s="25" t="s">
        <v>22</v>
      </c>
      <c r="B15" s="34" t="s">
        <v>137</v>
      </c>
      <c r="C15" s="35">
        <f t="shared" ca="1" si="0"/>
        <v>0</v>
      </c>
      <c r="D15" s="29">
        <f ca="1">C15-#REF!</f>
        <v>97643.460000000021</v>
      </c>
      <c r="E15" s="31">
        <f ca="1">C15/#REF!*100</f>
        <v>126.90643703499586</v>
      </c>
    </row>
    <row r="16" spans="1:19" s="23" customFormat="1" ht="24.95" customHeight="1">
      <c r="A16" s="25"/>
      <c r="B16" s="32" t="s">
        <v>138</v>
      </c>
      <c r="C16" s="33"/>
      <c r="D16" s="33"/>
      <c r="E16" s="31"/>
      <c r="G16" s="249"/>
    </row>
    <row r="17" spans="1:7" s="23" customFormat="1" ht="24.95" customHeight="1">
      <c r="A17" s="25" t="s">
        <v>22</v>
      </c>
      <c r="B17" s="34" t="s">
        <v>51</v>
      </c>
      <c r="C17" s="33">
        <f>D17+E17</f>
        <v>10200</v>
      </c>
      <c r="D17" s="33">
        <f>'16-CK'!F20</f>
        <v>10200</v>
      </c>
      <c r="E17" s="36"/>
    </row>
    <row r="18" spans="1:7" s="23" customFormat="1" ht="16.5" hidden="1">
      <c r="A18" s="25" t="s">
        <v>22</v>
      </c>
      <c r="B18" s="34" t="s">
        <v>52</v>
      </c>
      <c r="C18" s="35">
        <f t="shared" ca="1" si="0"/>
        <v>0</v>
      </c>
      <c r="D18" s="29">
        <f ca="1">C18-#REF!</f>
        <v>97643.460000000021</v>
      </c>
      <c r="E18" s="31">
        <f ca="1">C18/#REF!*100</f>
        <v>126.90643703499586</v>
      </c>
    </row>
    <row r="19" spans="1:7" s="23" customFormat="1" ht="16.5" hidden="1">
      <c r="A19" s="25">
        <v>2</v>
      </c>
      <c r="B19" s="32" t="s">
        <v>53</v>
      </c>
      <c r="C19" s="33">
        <f t="shared" ca="1" si="0"/>
        <v>0</v>
      </c>
      <c r="D19" s="29">
        <f ca="1">C19-#REF!</f>
        <v>97643.460000000021</v>
      </c>
      <c r="E19" s="31">
        <f ca="1">C19/#REF!*100</f>
        <v>126.90643703499586</v>
      </c>
    </row>
    <row r="20" spans="1:7" s="30" customFormat="1" ht="24.95" customHeight="1">
      <c r="A20" s="27" t="s">
        <v>17</v>
      </c>
      <c r="B20" s="28" t="s">
        <v>4</v>
      </c>
      <c r="C20" s="29">
        <f>D20+E20</f>
        <v>542953</v>
      </c>
      <c r="D20" s="29">
        <f>'34'!D27</f>
        <v>483065</v>
      </c>
      <c r="E20" s="29">
        <f>'30-CK'!E36-'33'!E32</f>
        <v>59888</v>
      </c>
      <c r="G20" s="200"/>
    </row>
    <row r="21" spans="1:7" s="23" customFormat="1" ht="24.95" customHeight="1">
      <c r="A21" s="25"/>
      <c r="B21" s="34" t="s">
        <v>48</v>
      </c>
      <c r="C21" s="33"/>
      <c r="D21" s="29"/>
      <c r="E21" s="31"/>
    </row>
    <row r="22" spans="1:7" s="37" customFormat="1" ht="24.95" customHeight="1">
      <c r="A22" s="25">
        <v>1</v>
      </c>
      <c r="B22" s="32" t="s">
        <v>49</v>
      </c>
      <c r="C22" s="33">
        <f>D22</f>
        <v>333884</v>
      </c>
      <c r="D22" s="33">
        <f>'17-CK'!D14</f>
        <v>333884</v>
      </c>
      <c r="E22" s="36"/>
    </row>
    <row r="23" spans="1:7" s="37" customFormat="1" ht="21.95" hidden="1" customHeight="1">
      <c r="A23" s="25">
        <v>2</v>
      </c>
      <c r="B23" s="32" t="s">
        <v>117</v>
      </c>
      <c r="C23" s="33">
        <f t="shared" ca="1" si="0"/>
        <v>1661</v>
      </c>
      <c r="D23" s="29">
        <f ca="1">C23-#REF!</f>
        <v>97643.460000000021</v>
      </c>
      <c r="E23" s="31"/>
    </row>
    <row r="24" spans="1:7" s="37" customFormat="1" ht="21.95" hidden="1" customHeight="1">
      <c r="A24" s="25">
        <f t="shared" ref="A24:A30" si="1">A23+1</f>
        <v>3</v>
      </c>
      <c r="B24" s="32" t="s">
        <v>56</v>
      </c>
      <c r="C24" s="33">
        <f t="shared" ca="1" si="0"/>
        <v>1414</v>
      </c>
      <c r="D24" s="29">
        <f ca="1">C24-#REF!</f>
        <v>97643.460000000021</v>
      </c>
      <c r="E24" s="31"/>
    </row>
    <row r="25" spans="1:7" s="37" customFormat="1" ht="21.95" hidden="1" customHeight="1">
      <c r="A25" s="25">
        <f t="shared" si="1"/>
        <v>4</v>
      </c>
      <c r="B25" s="32" t="s">
        <v>57</v>
      </c>
      <c r="C25" s="33">
        <f t="shared" ca="1" si="0"/>
        <v>1006</v>
      </c>
      <c r="D25" s="29">
        <f ca="1">C25-#REF!</f>
        <v>97643.460000000021</v>
      </c>
      <c r="E25" s="31"/>
    </row>
    <row r="26" spans="1:7" s="37" customFormat="1" ht="21.95" hidden="1" customHeight="1">
      <c r="A26" s="25">
        <f t="shared" si="1"/>
        <v>5</v>
      </c>
      <c r="B26" s="32" t="s">
        <v>58</v>
      </c>
      <c r="C26" s="33">
        <f t="shared" ca="1" si="0"/>
        <v>1110</v>
      </c>
      <c r="D26" s="29">
        <f ca="1">C26-#REF!</f>
        <v>97643.460000000021</v>
      </c>
      <c r="E26" s="31"/>
    </row>
    <row r="27" spans="1:7" s="37" customFormat="1" ht="21.95" hidden="1" customHeight="1">
      <c r="A27" s="25">
        <f t="shared" si="1"/>
        <v>6</v>
      </c>
      <c r="B27" s="32" t="s">
        <v>59</v>
      </c>
      <c r="C27" s="33">
        <f t="shared" ca="1" si="0"/>
        <v>6371</v>
      </c>
      <c r="D27" s="29">
        <f ca="1">C27-#REF!</f>
        <v>97643.460000000021</v>
      </c>
      <c r="E27" s="31"/>
    </row>
    <row r="28" spans="1:7" s="37" customFormat="1" ht="21.95" hidden="1" customHeight="1">
      <c r="A28" s="25">
        <f t="shared" si="1"/>
        <v>7</v>
      </c>
      <c r="B28" s="32" t="s">
        <v>60</v>
      </c>
      <c r="C28" s="33">
        <f t="shared" ca="1" si="0"/>
        <v>17842</v>
      </c>
      <c r="D28" s="29">
        <f ca="1">C28-#REF!</f>
        <v>97643.460000000021</v>
      </c>
      <c r="E28" s="31"/>
    </row>
    <row r="29" spans="1:7" s="37" customFormat="1" ht="21.95" hidden="1" customHeight="1">
      <c r="A29" s="25">
        <f t="shared" si="1"/>
        <v>8</v>
      </c>
      <c r="B29" s="32" t="s">
        <v>61</v>
      </c>
      <c r="C29" s="33">
        <f t="shared" ca="1" si="0"/>
        <v>35370</v>
      </c>
      <c r="D29" s="29">
        <f ca="1">C29-#REF!</f>
        <v>97643.460000000021</v>
      </c>
      <c r="E29" s="31"/>
    </row>
    <row r="30" spans="1:7" s="37" customFormat="1" ht="21.95" hidden="1" customHeight="1">
      <c r="A30" s="25">
        <f t="shared" si="1"/>
        <v>9</v>
      </c>
      <c r="B30" s="32" t="s">
        <v>0</v>
      </c>
      <c r="C30" s="33">
        <f t="shared" ca="1" si="0"/>
        <v>18519</v>
      </c>
      <c r="D30" s="29">
        <f ca="1">C30-#REF!</f>
        <v>97643.460000000021</v>
      </c>
      <c r="E30" s="31"/>
    </row>
    <row r="31" spans="1:7" s="37" customFormat="1" ht="21.95" hidden="1" customHeight="1">
      <c r="A31" s="25">
        <v>11</v>
      </c>
      <c r="B31" s="32" t="s">
        <v>108</v>
      </c>
      <c r="C31" s="33">
        <f t="shared" ca="1" si="0"/>
        <v>2411</v>
      </c>
      <c r="D31" s="29">
        <f ca="1">C31-#REF!</f>
        <v>97643.460000000021</v>
      </c>
      <c r="E31" s="31"/>
    </row>
    <row r="32" spans="1:7" s="30" customFormat="1" ht="24.75" customHeight="1">
      <c r="A32" s="27" t="s">
        <v>19</v>
      </c>
      <c r="B32" s="28" t="s">
        <v>139</v>
      </c>
      <c r="C32" s="29">
        <f>D32+E32</f>
        <v>11763</v>
      </c>
      <c r="D32" s="29">
        <f>'17-CK'!D24</f>
        <v>11763</v>
      </c>
      <c r="E32" s="29"/>
    </row>
    <row r="33" spans="1:139" s="20" customFormat="1" ht="24.95" customHeight="1">
      <c r="A33" s="142" t="s">
        <v>20</v>
      </c>
      <c r="B33" s="176" t="s">
        <v>204</v>
      </c>
      <c r="C33" s="177">
        <f>D33+E33</f>
        <v>7209</v>
      </c>
      <c r="D33" s="178">
        <f>'17-CK'!D25</f>
        <v>7209</v>
      </c>
      <c r="E33" s="142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</row>
    <row r="34" spans="1:139" s="30" customFormat="1" ht="24.95" customHeight="1">
      <c r="A34" s="27" t="s">
        <v>11</v>
      </c>
      <c r="B34" s="28" t="s">
        <v>140</v>
      </c>
      <c r="C34" s="29">
        <f>C35+C36</f>
        <v>46435</v>
      </c>
      <c r="D34" s="29">
        <f>D35+D36</f>
        <v>46435</v>
      </c>
      <c r="E34" s="29"/>
    </row>
    <row r="35" spans="1:139" s="30" customFormat="1" ht="24.95" customHeight="1">
      <c r="A35" s="27" t="s">
        <v>12</v>
      </c>
      <c r="B35" s="28" t="s">
        <v>33</v>
      </c>
      <c r="C35" s="29"/>
      <c r="D35" s="29"/>
      <c r="E35" s="31"/>
    </row>
    <row r="36" spans="1:139" s="30" customFormat="1" ht="24.95" customHeight="1">
      <c r="A36" s="27" t="s">
        <v>17</v>
      </c>
      <c r="B36" s="28" t="s">
        <v>34</v>
      </c>
      <c r="C36" s="29">
        <f>C37</f>
        <v>46435</v>
      </c>
      <c r="D36" s="29">
        <f>D37</f>
        <v>46435</v>
      </c>
      <c r="E36" s="31"/>
    </row>
    <row r="37" spans="1:139" s="30" customFormat="1" ht="41.25" customHeight="1">
      <c r="A37" s="27">
        <v>1</v>
      </c>
      <c r="B37" s="28" t="s">
        <v>250</v>
      </c>
      <c r="C37" s="29">
        <f>SUM(C38:C42)</f>
        <v>46435</v>
      </c>
      <c r="D37" s="29">
        <f>SUM(D38:D42)</f>
        <v>46435</v>
      </c>
      <c r="E37" s="31"/>
    </row>
    <row r="38" spans="1:139" s="30" customFormat="1" ht="24.95" customHeight="1">
      <c r="A38" s="231" t="s">
        <v>232</v>
      </c>
      <c r="B38" s="232" t="s">
        <v>239</v>
      </c>
      <c r="C38" s="33">
        <f>D38</f>
        <v>10100</v>
      </c>
      <c r="D38" s="222">
        <v>10100</v>
      </c>
      <c r="E38" s="31"/>
    </row>
    <row r="39" spans="1:139" s="30" customFormat="1" ht="24.95" customHeight="1">
      <c r="A39" s="231" t="s">
        <v>232</v>
      </c>
      <c r="B39" s="232" t="s">
        <v>291</v>
      </c>
      <c r="C39" s="33">
        <f t="shared" ref="C39:C42" si="2">D39</f>
        <v>3390</v>
      </c>
      <c r="D39" s="222">
        <v>3390</v>
      </c>
      <c r="E39" s="31"/>
    </row>
    <row r="40" spans="1:139" s="30" customFormat="1" ht="24.95" customHeight="1">
      <c r="A40" s="231" t="s">
        <v>232</v>
      </c>
      <c r="B40" s="232" t="s">
        <v>265</v>
      </c>
      <c r="C40" s="33">
        <f t="shared" si="2"/>
        <v>3295</v>
      </c>
      <c r="D40" s="222">
        <v>3295</v>
      </c>
      <c r="E40" s="31"/>
    </row>
    <row r="41" spans="1:139" s="30" customFormat="1" ht="24.95" customHeight="1">
      <c r="A41" s="231" t="s">
        <v>232</v>
      </c>
      <c r="B41" s="232" t="s">
        <v>266</v>
      </c>
      <c r="C41" s="33">
        <f t="shared" si="2"/>
        <v>14750</v>
      </c>
      <c r="D41" s="222">
        <v>14750</v>
      </c>
      <c r="E41" s="31"/>
    </row>
    <row r="42" spans="1:139" s="30" customFormat="1" ht="24.95" customHeight="1">
      <c r="A42" s="231" t="s">
        <v>232</v>
      </c>
      <c r="B42" s="232" t="s">
        <v>267</v>
      </c>
      <c r="C42" s="33">
        <f t="shared" si="2"/>
        <v>14900</v>
      </c>
      <c r="D42" s="222">
        <v>14900</v>
      </c>
      <c r="E42" s="31"/>
    </row>
  </sheetData>
  <mergeCells count="9">
    <mergeCell ref="A6:A7"/>
    <mergeCell ref="B6:B7"/>
    <mergeCell ref="C6:C7"/>
    <mergeCell ref="D6:E6"/>
    <mergeCell ref="D1:E1"/>
    <mergeCell ref="A4:E4"/>
    <mergeCell ref="A3:E3"/>
    <mergeCell ref="D5:E5"/>
    <mergeCell ref="A2:E2"/>
  </mergeCells>
  <printOptions horizontalCentered="1"/>
  <pageMargins left="0.5" right="0.5" top="0.5" bottom="0.5" header="0.31496062992126" footer="0.31496062992126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25"/>
  <sheetViews>
    <sheetView workbookViewId="0">
      <selection activeCell="Q5" sqref="Q5"/>
    </sheetView>
  </sheetViews>
  <sheetFormatPr defaultColWidth="9.140625" defaultRowHeight="15.75"/>
  <cols>
    <col min="1" max="1" width="7.140625" style="3" customWidth="1"/>
    <col min="2" max="2" width="23" style="3" customWidth="1"/>
    <col min="3" max="3" width="9.140625" style="3" customWidth="1"/>
    <col min="4" max="4" width="9" style="3" customWidth="1"/>
    <col min="5" max="5" width="11" style="224" customWidth="1"/>
    <col min="6" max="6" width="11.42578125" style="3" customWidth="1"/>
    <col min="7" max="7" width="11.42578125" style="3" bestFit="1" customWidth="1"/>
    <col min="8" max="8" width="11.42578125" style="3" hidden="1" customWidth="1"/>
    <col min="9" max="9" width="11.28515625" style="3" hidden="1" customWidth="1"/>
    <col min="10" max="10" width="11.85546875" style="224" customWidth="1"/>
    <col min="11" max="11" width="15.7109375" style="3" hidden="1" customWidth="1"/>
    <col min="12" max="12" width="9.140625" style="3"/>
    <col min="13" max="13" width="14.42578125" style="3" customWidth="1"/>
    <col min="14" max="16384" width="9.140625" style="3"/>
  </cols>
  <sheetData>
    <row r="1" spans="1:19" ht="20.25" customHeight="1">
      <c r="A1" s="179"/>
      <c r="B1" s="179"/>
      <c r="C1" s="180"/>
      <c r="D1" s="180"/>
      <c r="E1" s="180"/>
      <c r="F1" s="180"/>
      <c r="G1" s="181"/>
      <c r="H1" s="182"/>
      <c r="I1" s="182"/>
      <c r="J1" s="182" t="s">
        <v>192</v>
      </c>
      <c r="K1" s="4"/>
    </row>
    <row r="2" spans="1:19" ht="39" customHeight="1">
      <c r="A2" s="395" t="s">
        <v>300</v>
      </c>
      <c r="B2" s="396"/>
      <c r="C2" s="396"/>
      <c r="D2" s="396"/>
      <c r="E2" s="396"/>
      <c r="F2" s="396"/>
      <c r="G2" s="396"/>
      <c r="H2" s="396"/>
      <c r="I2" s="396"/>
      <c r="J2" s="396"/>
      <c r="K2" s="2"/>
    </row>
    <row r="3" spans="1:19" s="60" customFormat="1" ht="41.25" customHeight="1">
      <c r="A3" s="358" t="s">
        <v>296</v>
      </c>
      <c r="B3" s="358"/>
      <c r="C3" s="358"/>
      <c r="D3" s="358"/>
      <c r="E3" s="358"/>
      <c r="F3" s="358"/>
      <c r="G3" s="358"/>
      <c r="H3" s="358"/>
      <c r="I3" s="358"/>
      <c r="J3" s="358"/>
      <c r="K3" s="62"/>
      <c r="L3" s="62"/>
      <c r="M3" s="62"/>
      <c r="N3" s="62"/>
      <c r="O3" s="62"/>
      <c r="P3" s="62"/>
      <c r="Q3" s="62"/>
      <c r="R3" s="62"/>
      <c r="S3" s="62"/>
    </row>
    <row r="4" spans="1:19" ht="21" customHeight="1" thickBot="1">
      <c r="A4" s="181"/>
      <c r="B4" s="181" t="s">
        <v>18</v>
      </c>
      <c r="C4" s="183"/>
      <c r="D4" s="181"/>
      <c r="E4" s="184"/>
      <c r="F4" s="184"/>
      <c r="G4" s="399" t="s">
        <v>240</v>
      </c>
      <c r="H4" s="399"/>
      <c r="I4" s="399"/>
      <c r="J4" s="399"/>
      <c r="K4" s="6"/>
    </row>
    <row r="5" spans="1:19" s="8" customFormat="1" ht="52.5" customHeight="1">
      <c r="A5" s="393" t="s">
        <v>21</v>
      </c>
      <c r="B5" s="394" t="s">
        <v>14</v>
      </c>
      <c r="C5" s="397" t="s">
        <v>63</v>
      </c>
      <c r="D5" s="398" t="s">
        <v>107</v>
      </c>
      <c r="E5" s="393"/>
      <c r="F5" s="393"/>
      <c r="G5" s="398" t="s">
        <v>96</v>
      </c>
      <c r="H5" s="398" t="s">
        <v>98</v>
      </c>
      <c r="I5" s="398" t="s">
        <v>29</v>
      </c>
      <c r="J5" s="398" t="s">
        <v>97</v>
      </c>
      <c r="K5" s="7"/>
    </row>
    <row r="6" spans="1:19" s="8" customFormat="1" ht="135" customHeight="1">
      <c r="A6" s="393"/>
      <c r="B6" s="394"/>
      <c r="C6" s="394"/>
      <c r="D6" s="185" t="s">
        <v>8</v>
      </c>
      <c r="E6" s="226" t="s">
        <v>94</v>
      </c>
      <c r="F6" s="186" t="s">
        <v>95</v>
      </c>
      <c r="G6" s="393"/>
      <c r="H6" s="393"/>
      <c r="I6" s="393" t="s">
        <v>15</v>
      </c>
      <c r="J6" s="393" t="s">
        <v>16</v>
      </c>
      <c r="K6" s="9"/>
    </row>
    <row r="7" spans="1:19" ht="30.75" customHeight="1">
      <c r="A7" s="187" t="s">
        <v>10</v>
      </c>
      <c r="B7" s="187" t="s">
        <v>11</v>
      </c>
      <c r="C7" s="187">
        <v>1</v>
      </c>
      <c r="D7" s="187">
        <v>2</v>
      </c>
      <c r="E7" s="187">
        <v>3</v>
      </c>
      <c r="F7" s="187">
        <v>4</v>
      </c>
      <c r="G7" s="187" t="s">
        <v>275</v>
      </c>
      <c r="H7" s="187">
        <v>6</v>
      </c>
      <c r="I7" s="187">
        <v>7</v>
      </c>
      <c r="J7" s="187">
        <v>6</v>
      </c>
      <c r="K7" s="10">
        <v>7</v>
      </c>
    </row>
    <row r="8" spans="1:19" s="12" customFormat="1" ht="30.75" customHeight="1">
      <c r="A8" s="289"/>
      <c r="B8" s="289" t="s">
        <v>8</v>
      </c>
      <c r="C8" s="290">
        <f>SUM(C9:C18)</f>
        <v>6850</v>
      </c>
      <c r="D8" s="290">
        <f>SUM(D9:D18)</f>
        <v>5100</v>
      </c>
      <c r="E8" s="290">
        <f>SUM(E9:E18)</f>
        <v>3350</v>
      </c>
      <c r="F8" s="290">
        <f t="shared" ref="F8:K8" si="0">SUM(F9:F18)</f>
        <v>1750</v>
      </c>
      <c r="G8" s="290">
        <f t="shared" si="0"/>
        <v>45748</v>
      </c>
      <c r="H8" s="290">
        <f t="shared" si="0"/>
        <v>0</v>
      </c>
      <c r="I8" s="290">
        <f t="shared" si="0"/>
        <v>0</v>
      </c>
      <c r="J8" s="290">
        <f>SUM(J9:J18)</f>
        <v>50848</v>
      </c>
      <c r="K8" s="11">
        <f t="shared" si="0"/>
        <v>0</v>
      </c>
    </row>
    <row r="9" spans="1:19" ht="30.75" customHeight="1">
      <c r="A9" s="291">
        <v>1</v>
      </c>
      <c r="B9" s="292" t="s">
        <v>99</v>
      </c>
      <c r="C9" s="292">
        <v>3870</v>
      </c>
      <c r="D9" s="292">
        <f>E9+F9</f>
        <v>2120</v>
      </c>
      <c r="E9" s="292">
        <f>'32'!E9+'32'!F9+'32'!G9</f>
        <v>370</v>
      </c>
      <c r="F9" s="292">
        <f>'32'!D9*0.5</f>
        <v>1750</v>
      </c>
      <c r="G9" s="292">
        <f>J9-D9</f>
        <v>2793</v>
      </c>
      <c r="H9" s="292"/>
      <c r="I9" s="292"/>
      <c r="J9" s="292">
        <v>4913</v>
      </c>
      <c r="K9" s="13"/>
      <c r="L9" s="126"/>
      <c r="M9" s="126">
        <f>G9+D9</f>
        <v>4913</v>
      </c>
    </row>
    <row r="10" spans="1:19" ht="30.75" customHeight="1">
      <c r="A10" s="291">
        <v>2</v>
      </c>
      <c r="B10" s="292" t="s">
        <v>100</v>
      </c>
      <c r="C10" s="292">
        <v>220</v>
      </c>
      <c r="D10" s="292">
        <f t="shared" ref="D10:D18" si="1">E10+F10</f>
        <v>220</v>
      </c>
      <c r="E10" s="292">
        <f>'32'!D10+'32'!E10+'32'!F10+'32'!G10</f>
        <v>220</v>
      </c>
      <c r="F10" s="292"/>
      <c r="G10" s="292">
        <f>J10-D10</f>
        <v>5354</v>
      </c>
      <c r="H10" s="292"/>
      <c r="I10" s="292"/>
      <c r="J10" s="292">
        <v>5574</v>
      </c>
      <c r="K10" s="13"/>
      <c r="L10" s="126"/>
      <c r="M10" s="126">
        <f t="shared" ref="M10:M18" si="2">G10+D10</f>
        <v>5574</v>
      </c>
    </row>
    <row r="11" spans="1:19" ht="30.75" customHeight="1">
      <c r="A11" s="291">
        <v>3</v>
      </c>
      <c r="B11" s="292" t="s">
        <v>101</v>
      </c>
      <c r="C11" s="292">
        <v>650</v>
      </c>
      <c r="D11" s="292">
        <f t="shared" si="1"/>
        <v>650</v>
      </c>
      <c r="E11" s="292">
        <f>'32'!D11+'32'!E11+'32'!F11+'32'!G11</f>
        <v>650</v>
      </c>
      <c r="F11" s="292"/>
      <c r="G11" s="292">
        <f t="shared" ref="G11:G18" si="3">J11-D11</f>
        <v>5601</v>
      </c>
      <c r="H11" s="292"/>
      <c r="I11" s="292"/>
      <c r="J11" s="292">
        <v>6251</v>
      </c>
      <c r="K11" s="13"/>
      <c r="M11" s="126">
        <f t="shared" si="2"/>
        <v>6251</v>
      </c>
    </row>
    <row r="12" spans="1:19" ht="30.75" customHeight="1">
      <c r="A12" s="291">
        <v>4</v>
      </c>
      <c r="B12" s="292" t="s">
        <v>102</v>
      </c>
      <c r="C12" s="292">
        <v>340</v>
      </c>
      <c r="D12" s="292">
        <f t="shared" si="1"/>
        <v>340</v>
      </c>
      <c r="E12" s="292">
        <f>'32'!D12+'32'!E12+'32'!F12+'32'!G12</f>
        <v>340</v>
      </c>
      <c r="F12" s="292"/>
      <c r="G12" s="292">
        <f t="shared" si="3"/>
        <v>5423</v>
      </c>
      <c r="H12" s="292"/>
      <c r="I12" s="292"/>
      <c r="J12" s="292">
        <v>5763</v>
      </c>
      <c r="K12" s="13"/>
      <c r="L12" s="126"/>
      <c r="M12" s="126">
        <f t="shared" si="2"/>
        <v>5763</v>
      </c>
    </row>
    <row r="13" spans="1:19" ht="30.75" customHeight="1">
      <c r="A13" s="291">
        <v>5</v>
      </c>
      <c r="B13" s="292" t="s">
        <v>103</v>
      </c>
      <c r="C13" s="292">
        <v>270</v>
      </c>
      <c r="D13" s="292">
        <f t="shared" si="1"/>
        <v>270</v>
      </c>
      <c r="E13" s="292">
        <f>'32'!D13+'32'!E13+'32'!F13+'32'!G13</f>
        <v>270</v>
      </c>
      <c r="F13" s="292"/>
      <c r="G13" s="292">
        <f t="shared" si="3"/>
        <v>4253</v>
      </c>
      <c r="H13" s="292"/>
      <c r="I13" s="292"/>
      <c r="J13" s="292">
        <v>4523</v>
      </c>
      <c r="K13" s="13"/>
      <c r="M13" s="126">
        <f t="shared" si="2"/>
        <v>4523</v>
      </c>
    </row>
    <row r="14" spans="1:19" ht="30.75" customHeight="1">
      <c r="A14" s="291">
        <v>6</v>
      </c>
      <c r="B14" s="292" t="s">
        <v>294</v>
      </c>
      <c r="C14" s="292">
        <v>425</v>
      </c>
      <c r="D14" s="292">
        <f t="shared" si="1"/>
        <v>425</v>
      </c>
      <c r="E14" s="292">
        <f>'32'!D14+'32'!E14+'32'!F14+'32'!G14</f>
        <v>425</v>
      </c>
      <c r="F14" s="292"/>
      <c r="G14" s="292">
        <f t="shared" si="3"/>
        <v>4747</v>
      </c>
      <c r="H14" s="292"/>
      <c r="I14" s="292"/>
      <c r="J14" s="292">
        <v>5172</v>
      </c>
      <c r="K14" s="13"/>
      <c r="M14" s="126">
        <f t="shared" si="2"/>
        <v>5172</v>
      </c>
    </row>
    <row r="15" spans="1:19" ht="30.75" customHeight="1">
      <c r="A15" s="291">
        <v>7</v>
      </c>
      <c r="B15" s="292" t="s">
        <v>104</v>
      </c>
      <c r="C15" s="292">
        <v>375</v>
      </c>
      <c r="D15" s="292">
        <f t="shared" si="1"/>
        <v>375</v>
      </c>
      <c r="E15" s="292">
        <f>'32'!D15+'32'!E15+'32'!F15+'32'!G15</f>
        <v>375</v>
      </c>
      <c r="F15" s="292"/>
      <c r="G15" s="292">
        <f t="shared" si="3"/>
        <v>3669</v>
      </c>
      <c r="H15" s="292"/>
      <c r="I15" s="292"/>
      <c r="J15" s="292">
        <v>4044</v>
      </c>
      <c r="K15" s="13"/>
      <c r="M15" s="126">
        <f t="shared" si="2"/>
        <v>4044</v>
      </c>
    </row>
    <row r="16" spans="1:19" ht="30.75" customHeight="1">
      <c r="A16" s="291">
        <v>8</v>
      </c>
      <c r="B16" s="292" t="s">
        <v>241</v>
      </c>
      <c r="C16" s="292">
        <v>255</v>
      </c>
      <c r="D16" s="292">
        <f t="shared" si="1"/>
        <v>255</v>
      </c>
      <c r="E16" s="292">
        <f>'32'!D16+'32'!E16+'32'!F16+'32'!G16</f>
        <v>255</v>
      </c>
      <c r="F16" s="292"/>
      <c r="G16" s="292">
        <f t="shared" si="3"/>
        <v>4842</v>
      </c>
      <c r="H16" s="292"/>
      <c r="I16" s="292"/>
      <c r="J16" s="292">
        <v>5097</v>
      </c>
      <c r="K16" s="13"/>
      <c r="M16" s="126">
        <f t="shared" si="2"/>
        <v>5097</v>
      </c>
    </row>
    <row r="17" spans="1:13" ht="30.75" customHeight="1">
      <c r="A17" s="291">
        <v>9</v>
      </c>
      <c r="B17" s="292" t="s">
        <v>105</v>
      </c>
      <c r="C17" s="292">
        <v>265</v>
      </c>
      <c r="D17" s="292">
        <f t="shared" si="1"/>
        <v>265</v>
      </c>
      <c r="E17" s="292">
        <f>'32'!D17+'32'!E17+'32'!F17+'32'!G17</f>
        <v>265</v>
      </c>
      <c r="F17" s="292"/>
      <c r="G17" s="292">
        <f t="shared" si="3"/>
        <v>5051</v>
      </c>
      <c r="H17" s="292"/>
      <c r="I17" s="292"/>
      <c r="J17" s="292">
        <v>5316</v>
      </c>
      <c r="K17" s="13"/>
      <c r="M17" s="126">
        <f t="shared" si="2"/>
        <v>5316</v>
      </c>
    </row>
    <row r="18" spans="1:13" ht="30.75" customHeight="1">
      <c r="A18" s="291">
        <v>10</v>
      </c>
      <c r="B18" s="292" t="s">
        <v>106</v>
      </c>
      <c r="C18" s="292">
        <v>180</v>
      </c>
      <c r="D18" s="292">
        <f t="shared" si="1"/>
        <v>180</v>
      </c>
      <c r="E18" s="292">
        <f>'32'!D18+'32'!E18+'32'!F18+'32'!G18</f>
        <v>180</v>
      </c>
      <c r="F18" s="292"/>
      <c r="G18" s="292">
        <f t="shared" si="3"/>
        <v>4015</v>
      </c>
      <c r="H18" s="292"/>
      <c r="I18" s="292"/>
      <c r="J18" s="292">
        <v>4195</v>
      </c>
      <c r="K18" s="13"/>
      <c r="M18" s="126">
        <f t="shared" si="2"/>
        <v>4195</v>
      </c>
    </row>
    <row r="19" spans="1:13">
      <c r="A19" s="5"/>
      <c r="B19" s="5"/>
    </row>
    <row r="20" spans="1:13">
      <c r="A20" s="5"/>
      <c r="B20" s="5"/>
      <c r="J20" s="225"/>
    </row>
    <row r="21" spans="1:13">
      <c r="A21" s="5"/>
      <c r="B21" s="5"/>
      <c r="J21" s="225"/>
    </row>
    <row r="22" spans="1:13">
      <c r="A22" s="5"/>
      <c r="B22" s="5"/>
    </row>
    <row r="23" spans="1:13">
      <c r="A23" s="5"/>
      <c r="B23" s="5"/>
    </row>
    <row r="24" spans="1:13">
      <c r="A24" s="5"/>
      <c r="B24" s="5"/>
    </row>
    <row r="25" spans="1:13">
      <c r="A25" s="5"/>
      <c r="B25" s="5"/>
    </row>
  </sheetData>
  <mergeCells count="11">
    <mergeCell ref="A5:A6"/>
    <mergeCell ref="B5:B6"/>
    <mergeCell ref="A2:J2"/>
    <mergeCell ref="C5:C6"/>
    <mergeCell ref="J5:J6"/>
    <mergeCell ref="A3:J3"/>
    <mergeCell ref="G4:J4"/>
    <mergeCell ref="H5:H6"/>
    <mergeCell ref="D5:F5"/>
    <mergeCell ref="G5:G6"/>
    <mergeCell ref="I5:I6"/>
  </mergeCells>
  <phoneticPr fontId="0" type="noConversion"/>
  <printOptions horizontalCentered="1"/>
  <pageMargins left="0.5" right="0.5" top="0.5" bottom="0.5" header="0.23622047244094499" footer="0.15748031496063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8"/>
  <sheetViews>
    <sheetView workbookViewId="0">
      <selection activeCell="E22" sqref="E22"/>
    </sheetView>
  </sheetViews>
  <sheetFormatPr defaultColWidth="9.140625" defaultRowHeight="15.75"/>
  <cols>
    <col min="1" max="1" width="6.28515625" style="78" customWidth="1"/>
    <col min="2" max="2" width="26" style="78" customWidth="1"/>
    <col min="3" max="3" width="11.140625" style="78" customWidth="1"/>
    <col min="4" max="4" width="16.140625" style="78" customWidth="1"/>
    <col min="5" max="5" width="18.28515625" style="78" bestFit="1" customWidth="1"/>
    <col min="6" max="6" width="7.85546875" style="78" hidden="1" customWidth="1"/>
    <col min="7" max="7" width="33.140625" style="78" hidden="1" customWidth="1"/>
    <col min="8" max="8" width="62.85546875" style="78" hidden="1" customWidth="1"/>
    <col min="9" max="9" width="23.140625" style="78" hidden="1" customWidth="1"/>
    <col min="10" max="10" width="16.7109375" style="78" customWidth="1"/>
    <col min="11" max="16384" width="9.140625" style="78"/>
  </cols>
  <sheetData>
    <row r="1" spans="1:12" ht="19.5" customHeight="1">
      <c r="A1" s="77"/>
      <c r="B1" s="77"/>
      <c r="D1" s="82"/>
      <c r="E1" s="404" t="s">
        <v>193</v>
      </c>
      <c r="F1" s="404"/>
      <c r="G1" s="404"/>
      <c r="H1" s="404"/>
      <c r="I1" s="404"/>
      <c r="J1" s="404"/>
    </row>
    <row r="2" spans="1:12" ht="39.75" customHeight="1">
      <c r="A2" s="405" t="s">
        <v>247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2" s="60" customFormat="1" ht="43.5" customHeight="1">
      <c r="A3" s="358" t="s">
        <v>295</v>
      </c>
      <c r="B3" s="358"/>
      <c r="C3" s="358"/>
      <c r="D3" s="358"/>
      <c r="E3" s="358"/>
      <c r="F3" s="358"/>
      <c r="G3" s="358"/>
      <c r="H3" s="358"/>
      <c r="I3" s="358"/>
      <c r="J3" s="358"/>
      <c r="K3" s="62"/>
      <c r="L3" s="62"/>
    </row>
    <row r="4" spans="1:12" ht="17.100000000000001" customHeight="1">
      <c r="B4" s="83"/>
      <c r="C4" s="79"/>
      <c r="E4" s="407" t="s">
        <v>240</v>
      </c>
      <c r="F4" s="407"/>
      <c r="G4" s="407"/>
      <c r="H4" s="407"/>
      <c r="I4" s="407"/>
      <c r="J4" s="407"/>
    </row>
    <row r="5" spans="1:12" ht="6.95" customHeight="1">
      <c r="C5" s="79"/>
      <c r="D5" s="79"/>
      <c r="E5" s="79"/>
      <c r="F5" s="79"/>
      <c r="G5" s="79"/>
      <c r="H5" s="79"/>
      <c r="I5" s="79"/>
      <c r="J5" s="79"/>
    </row>
    <row r="6" spans="1:12" s="82" customFormat="1" ht="22.5" customHeight="1">
      <c r="A6" s="403" t="s">
        <v>21</v>
      </c>
      <c r="B6" s="408" t="s">
        <v>13</v>
      </c>
      <c r="C6" s="402" t="s">
        <v>8</v>
      </c>
      <c r="D6" s="402" t="s">
        <v>64</v>
      </c>
      <c r="E6" s="402" t="s">
        <v>65</v>
      </c>
      <c r="F6" s="400" t="s">
        <v>205</v>
      </c>
      <c r="G6" s="400" t="s">
        <v>215</v>
      </c>
      <c r="H6" s="400" t="s">
        <v>208</v>
      </c>
      <c r="I6" s="400" t="s">
        <v>206</v>
      </c>
      <c r="J6" s="402" t="s">
        <v>66</v>
      </c>
    </row>
    <row r="7" spans="1:12" s="82" customFormat="1" ht="90" customHeight="1">
      <c r="A7" s="403"/>
      <c r="B7" s="408"/>
      <c r="C7" s="403"/>
      <c r="D7" s="403" t="s">
        <v>26</v>
      </c>
      <c r="E7" s="403" t="s">
        <v>26</v>
      </c>
      <c r="F7" s="401"/>
      <c r="G7" s="401"/>
      <c r="H7" s="401"/>
      <c r="I7" s="401"/>
      <c r="J7" s="403" t="s">
        <v>26</v>
      </c>
    </row>
    <row r="8" spans="1:12" s="82" customFormat="1" ht="25.5" customHeight="1">
      <c r="A8" s="188" t="s">
        <v>10</v>
      </c>
      <c r="B8" s="188" t="s">
        <v>11</v>
      </c>
      <c r="C8" s="188">
        <v>1</v>
      </c>
      <c r="D8" s="188">
        <v>2</v>
      </c>
      <c r="E8" s="188">
        <v>3</v>
      </c>
      <c r="F8" s="188"/>
      <c r="G8" s="188"/>
      <c r="H8" s="188"/>
      <c r="I8" s="188"/>
      <c r="J8" s="188">
        <v>4</v>
      </c>
    </row>
    <row r="9" spans="1:12" s="80" customFormat="1" ht="24.75" customHeight="1">
      <c r="A9" s="189"/>
      <c r="B9" s="190" t="s">
        <v>5</v>
      </c>
      <c r="C9" s="191">
        <f>SUM(C10,C21)</f>
        <v>9040</v>
      </c>
      <c r="D9" s="191">
        <f>SUM(D10,D21)</f>
        <v>0</v>
      </c>
      <c r="E9" s="191">
        <f>SUM(E10,E21)</f>
        <v>9040</v>
      </c>
      <c r="F9" s="191">
        <f t="shared" ref="F9:I9" si="0">SUM(F10,F21)</f>
        <v>1721.1031175059954</v>
      </c>
      <c r="G9" s="191">
        <f t="shared" si="0"/>
        <v>20</v>
      </c>
      <c r="H9" s="191">
        <f t="shared" si="0"/>
        <v>1762</v>
      </c>
      <c r="I9" s="191">
        <f t="shared" si="0"/>
        <v>821</v>
      </c>
      <c r="J9" s="191">
        <f>SUM(J10,J21)</f>
        <v>0</v>
      </c>
      <c r="K9" s="202"/>
      <c r="L9" s="202"/>
    </row>
    <row r="10" spans="1:12" s="81" customFormat="1" ht="75" customHeight="1">
      <c r="A10" s="190" t="s">
        <v>10</v>
      </c>
      <c r="B10" s="244" t="s">
        <v>248</v>
      </c>
      <c r="C10" s="192">
        <f>SUM(C11:C20)</f>
        <v>5178</v>
      </c>
      <c r="D10" s="192">
        <f>SUM(D11:D20)</f>
        <v>0</v>
      </c>
      <c r="E10" s="192">
        <f>SUM(E11:E20)</f>
        <v>5178</v>
      </c>
      <c r="F10" s="192">
        <f t="shared" ref="F10:I10" si="1">SUM(F11:F20)</f>
        <v>1721.1031175059954</v>
      </c>
      <c r="G10" s="192">
        <f t="shared" si="1"/>
        <v>20</v>
      </c>
      <c r="H10" s="192">
        <f>SUM(H11:H20)</f>
        <v>1762</v>
      </c>
      <c r="I10" s="192">
        <f t="shared" si="1"/>
        <v>821</v>
      </c>
      <c r="J10" s="192">
        <f>SUM(J11:J20)</f>
        <v>0</v>
      </c>
      <c r="K10" s="205"/>
      <c r="L10" s="205"/>
    </row>
    <row r="11" spans="1:12" ht="30.75" customHeight="1">
      <c r="A11" s="193">
        <v>1</v>
      </c>
      <c r="B11" s="194" t="s">
        <v>99</v>
      </c>
      <c r="C11" s="195">
        <f>E11</f>
        <v>412</v>
      </c>
      <c r="D11" s="195"/>
      <c r="E11" s="196">
        <v>412</v>
      </c>
      <c r="F11" s="196">
        <v>149.88009592326142</v>
      </c>
      <c r="G11" s="197">
        <v>2</v>
      </c>
      <c r="H11" s="197">
        <v>130</v>
      </c>
      <c r="I11" s="197">
        <f>20+5+5*7+1</f>
        <v>61</v>
      </c>
      <c r="J11" s="195"/>
      <c r="K11" s="227"/>
    </row>
    <row r="12" spans="1:12" ht="30.75" customHeight="1">
      <c r="A12" s="193">
        <f>A11+1</f>
        <v>2</v>
      </c>
      <c r="B12" s="194" t="s">
        <v>100</v>
      </c>
      <c r="C12" s="195">
        <f t="shared" ref="C12:C21" si="2">E12</f>
        <v>722</v>
      </c>
      <c r="D12" s="195"/>
      <c r="E12" s="196">
        <v>722</v>
      </c>
      <c r="F12" s="196">
        <v>173.86091127098325</v>
      </c>
      <c r="G12" s="197">
        <v>2</v>
      </c>
      <c r="H12" s="197">
        <v>151</v>
      </c>
      <c r="I12" s="197">
        <f>20+5+11*5+11</f>
        <v>91</v>
      </c>
      <c r="J12" s="195"/>
    </row>
    <row r="13" spans="1:12" ht="30.75" customHeight="1">
      <c r="A13" s="193">
        <f t="shared" ref="A13:A20" si="3">A12+1</f>
        <v>3</v>
      </c>
      <c r="B13" s="194" t="s">
        <v>101</v>
      </c>
      <c r="C13" s="195">
        <f t="shared" si="2"/>
        <v>699</v>
      </c>
      <c r="D13" s="195"/>
      <c r="E13" s="196">
        <v>699</v>
      </c>
      <c r="F13" s="196">
        <v>168.34532374100723</v>
      </c>
      <c r="G13" s="197">
        <v>2</v>
      </c>
      <c r="H13" s="197">
        <v>138</v>
      </c>
      <c r="I13" s="197">
        <f>20+5+10*5+6</f>
        <v>81</v>
      </c>
      <c r="J13" s="195"/>
    </row>
    <row r="14" spans="1:12" ht="30.75" customHeight="1">
      <c r="A14" s="193">
        <f t="shared" si="3"/>
        <v>4</v>
      </c>
      <c r="B14" s="194" t="s">
        <v>102</v>
      </c>
      <c r="C14" s="195">
        <f t="shared" si="2"/>
        <v>443</v>
      </c>
      <c r="D14" s="195"/>
      <c r="E14" s="196">
        <v>443</v>
      </c>
      <c r="F14" s="196">
        <v>131.89448441247004</v>
      </c>
      <c r="G14" s="197">
        <v>2</v>
      </c>
      <c r="H14" s="197">
        <v>126</v>
      </c>
      <c r="I14" s="197">
        <f>20+5+11*5+11</f>
        <v>91</v>
      </c>
      <c r="J14" s="195"/>
      <c r="K14" s="227">
        <f>443-E14</f>
        <v>0</v>
      </c>
    </row>
    <row r="15" spans="1:12" ht="30.75" customHeight="1">
      <c r="A15" s="193">
        <f t="shared" si="3"/>
        <v>5</v>
      </c>
      <c r="B15" s="194" t="s">
        <v>103</v>
      </c>
      <c r="C15" s="195">
        <f t="shared" si="2"/>
        <v>499</v>
      </c>
      <c r="D15" s="195"/>
      <c r="E15" s="196">
        <v>499</v>
      </c>
      <c r="F15" s="196">
        <v>185.85131894484417</v>
      </c>
      <c r="G15" s="197">
        <v>2</v>
      </c>
      <c r="H15" s="197">
        <v>279</v>
      </c>
      <c r="I15" s="197">
        <f>25+5+11*5+7</f>
        <v>92</v>
      </c>
      <c r="J15" s="195"/>
    </row>
    <row r="16" spans="1:12" ht="30.75" customHeight="1">
      <c r="A16" s="193">
        <f t="shared" si="3"/>
        <v>6</v>
      </c>
      <c r="B16" s="194" t="s">
        <v>294</v>
      </c>
      <c r="C16" s="195">
        <f t="shared" si="2"/>
        <v>516</v>
      </c>
      <c r="D16" s="195"/>
      <c r="E16" s="196">
        <v>516</v>
      </c>
      <c r="F16" s="196">
        <v>203.83693045563552</v>
      </c>
      <c r="G16" s="197">
        <v>2</v>
      </c>
      <c r="H16" s="197">
        <v>298</v>
      </c>
      <c r="I16" s="197">
        <f>25+5+11*5+6+1</f>
        <v>92</v>
      </c>
      <c r="J16" s="195"/>
    </row>
    <row r="17" spans="1:10" ht="30.75" customHeight="1">
      <c r="A17" s="193">
        <f t="shared" si="3"/>
        <v>7</v>
      </c>
      <c r="B17" s="194" t="s">
        <v>104</v>
      </c>
      <c r="C17" s="195">
        <f t="shared" si="2"/>
        <v>481</v>
      </c>
      <c r="D17" s="195"/>
      <c r="E17" s="196">
        <v>481</v>
      </c>
      <c r="F17" s="196">
        <v>197.84172661870505</v>
      </c>
      <c r="G17" s="197">
        <v>2</v>
      </c>
      <c r="H17" s="197">
        <v>130</v>
      </c>
      <c r="I17" s="197">
        <f>25+5+8*5</f>
        <v>70</v>
      </c>
      <c r="J17" s="195"/>
    </row>
    <row r="18" spans="1:10" ht="30.75" customHeight="1">
      <c r="A18" s="193">
        <f t="shared" si="3"/>
        <v>8</v>
      </c>
      <c r="B18" s="194" t="s">
        <v>241</v>
      </c>
      <c r="C18" s="195">
        <f t="shared" si="2"/>
        <v>492</v>
      </c>
      <c r="D18" s="195"/>
      <c r="E18" s="196">
        <v>492</v>
      </c>
      <c r="F18" s="196">
        <v>179.85611510791369</v>
      </c>
      <c r="G18" s="197">
        <v>2</v>
      </c>
      <c r="H18" s="197">
        <v>247</v>
      </c>
      <c r="I18" s="197">
        <f>25+5+9*5+8</f>
        <v>83</v>
      </c>
      <c r="J18" s="195"/>
    </row>
    <row r="19" spans="1:10" ht="30.75" customHeight="1">
      <c r="A19" s="193">
        <f t="shared" si="3"/>
        <v>9</v>
      </c>
      <c r="B19" s="194" t="s">
        <v>105</v>
      </c>
      <c r="C19" s="195">
        <f t="shared" si="2"/>
        <v>474</v>
      </c>
      <c r="D19" s="195"/>
      <c r="E19" s="196">
        <v>474</v>
      </c>
      <c r="F19" s="196">
        <v>167.86570743405278</v>
      </c>
      <c r="G19" s="197">
        <v>2</v>
      </c>
      <c r="H19" s="197">
        <v>122</v>
      </c>
      <c r="I19" s="197">
        <f>20+5+10*5+3</f>
        <v>78</v>
      </c>
      <c r="J19" s="195"/>
    </row>
    <row r="20" spans="1:10" ht="30.75" customHeight="1">
      <c r="A20" s="193">
        <f t="shared" si="3"/>
        <v>10</v>
      </c>
      <c r="B20" s="194" t="s">
        <v>106</v>
      </c>
      <c r="C20" s="195">
        <f t="shared" si="2"/>
        <v>440</v>
      </c>
      <c r="D20" s="195"/>
      <c r="E20" s="196">
        <v>440</v>
      </c>
      <c r="F20" s="196">
        <v>161.87050359712231</v>
      </c>
      <c r="G20" s="197">
        <v>2</v>
      </c>
      <c r="H20" s="197">
        <v>141</v>
      </c>
      <c r="I20" s="197">
        <f>25+5+9*5+7</f>
        <v>82</v>
      </c>
      <c r="J20" s="195"/>
    </row>
    <row r="21" spans="1:10" s="81" customFormat="1" ht="74.25" customHeight="1">
      <c r="A21" s="246" t="s">
        <v>11</v>
      </c>
      <c r="B21" s="244" t="s">
        <v>249</v>
      </c>
      <c r="C21" s="192">
        <f t="shared" si="2"/>
        <v>3862</v>
      </c>
      <c r="D21" s="192"/>
      <c r="E21" s="192">
        <f>9040-E10</f>
        <v>3862</v>
      </c>
      <c r="F21" s="192"/>
      <c r="G21" s="192"/>
      <c r="H21" s="192"/>
      <c r="I21" s="192"/>
      <c r="J21" s="192"/>
    </row>
    <row r="25" spans="1:10">
      <c r="E25" s="223"/>
    </row>
    <row r="26" spans="1:10">
      <c r="E26" s="223"/>
    </row>
    <row r="28" spans="1:10">
      <c r="E28" s="223"/>
    </row>
  </sheetData>
  <mergeCells count="14">
    <mergeCell ref="H6:H7"/>
    <mergeCell ref="I6:I7"/>
    <mergeCell ref="J6:J7"/>
    <mergeCell ref="F6:F7"/>
    <mergeCell ref="E1:J1"/>
    <mergeCell ref="A2:J2"/>
    <mergeCell ref="A3:J3"/>
    <mergeCell ref="E4:J4"/>
    <mergeCell ref="A6:A7"/>
    <mergeCell ref="B6:B7"/>
    <mergeCell ref="C6:C7"/>
    <mergeCell ref="D6:D7"/>
    <mergeCell ref="E6:E7"/>
    <mergeCell ref="G6:G7"/>
  </mergeCells>
  <printOptions horizontalCentered="1"/>
  <pageMargins left="0.5" right="0.5" top="0.5" bottom="0.5" header="0.31496062992126" footer="0.31496062992126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34</vt:lpstr>
      <vt:lpstr>37</vt:lpstr>
      <vt:lpstr>15-CK</vt:lpstr>
      <vt:lpstr>30-CK</vt:lpstr>
      <vt:lpstr>16-CK</vt:lpstr>
      <vt:lpstr>17-CK</vt:lpstr>
      <vt:lpstr>33</vt:lpstr>
      <vt:lpstr>39-CK</vt:lpstr>
      <vt:lpstr>42</vt:lpstr>
      <vt:lpstr>32</vt:lpstr>
      <vt:lpstr>'15-CK'!Print_Area</vt:lpstr>
      <vt:lpstr>'16-CK'!Print_Area</vt:lpstr>
      <vt:lpstr>'17-CK'!Print_Area</vt:lpstr>
      <vt:lpstr>'30-CK'!Print_Area</vt:lpstr>
      <vt:lpstr>'32'!Print_Area</vt:lpstr>
      <vt:lpstr>'33'!Print_Area</vt:lpstr>
      <vt:lpstr>'34'!Print_Area</vt:lpstr>
      <vt:lpstr>'37'!Print_Area</vt:lpstr>
      <vt:lpstr>'39-CK'!Print_Area</vt:lpstr>
      <vt:lpstr>'42'!Print_Area</vt:lpstr>
      <vt:lpstr>'15-CK'!Print_Titles</vt:lpstr>
      <vt:lpstr>'16-CK'!Print_Titles</vt:lpstr>
      <vt:lpstr>'17-CK'!Print_Titles</vt:lpstr>
      <vt:lpstr>'30-CK'!Print_Titles</vt:lpstr>
      <vt:lpstr>'33'!Print_Titles</vt:lpstr>
      <vt:lpstr>'34'!Print_Titles</vt:lpstr>
      <vt:lpstr>'37'!Print_Titles</vt:lpstr>
      <vt:lpstr>'39-CK'!Print_Titles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Linh Chi</dc:creator>
  <cp:lastModifiedBy>Admin</cp:lastModifiedBy>
  <cp:lastPrinted>2022-12-15T00:47:06Z</cp:lastPrinted>
  <dcterms:created xsi:type="dcterms:W3CDTF">2003-07-08T15:05:47Z</dcterms:created>
  <dcterms:modified xsi:type="dcterms:W3CDTF">2022-12-15T01:19:04Z</dcterms:modified>
</cp:coreProperties>
</file>